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23"/>
  <workbookPr defaultThemeVersion="166925"/>
  <mc:AlternateContent xmlns:mc="http://schemas.openxmlformats.org/markup-compatibility/2006">
    <mc:Choice Requires="x15">
      <x15ac:absPath xmlns:x15ac="http://schemas.microsoft.com/office/spreadsheetml/2010/11/ac" url="/Users/macintosh/kDrive/projects/Elegant Experiments/website/static/datasets/"/>
    </mc:Choice>
  </mc:AlternateContent>
  <xr:revisionPtr revIDLastSave="0" documentId="13_ncr:1_{30C643CE-99BF-EC41-85C4-39EAF9A2DE7D}" xr6:coauthVersionLast="46" xr6:coauthVersionMax="46" xr10:uidLastSave="{00000000-0000-0000-0000-000000000000}"/>
  <bookViews>
    <workbookView xWindow="0" yWindow="0" windowWidth="28800" windowHeight="18000" activeTab="2" xr2:uid="{6E30AD57-6F6B-6947-A96C-7FBEC965825B}"/>
  </bookViews>
  <sheets>
    <sheet name="meta-data" sheetId="4" r:id="rId1"/>
    <sheet name="nutrition facts" sheetId="2" r:id="rId2"/>
    <sheet name="recipes"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4" i="3" l="1"/>
  <c r="N10" i="3"/>
  <c r="N9" i="3"/>
  <c r="N8" i="3"/>
  <c r="N7" i="3"/>
  <c r="N11" i="3"/>
  <c r="N6" i="3"/>
  <c r="N5" i="3"/>
  <c r="N4" i="3"/>
  <c r="N18" i="3"/>
  <c r="N13" i="3"/>
  <c r="N3" i="3"/>
  <c r="H35" i="2"/>
  <c r="G35" i="2"/>
  <c r="F35" i="2"/>
  <c r="E35" i="2"/>
  <c r="D33" i="2"/>
  <c r="D37" i="2" s="1"/>
  <c r="E41" i="2" l="1"/>
  <c r="G41" i="2"/>
  <c r="E44" i="2"/>
  <c r="G44" i="2"/>
  <c r="H44" i="2"/>
  <c r="D44" i="2"/>
  <c r="D41" i="2"/>
  <c r="F37" i="2"/>
  <c r="E37" i="2"/>
  <c r="E40" i="2"/>
  <c r="F40" i="2"/>
  <c r="D40" i="2"/>
  <c r="H40" i="2" l="1"/>
  <c r="H34" i="2"/>
  <c r="H33" i="2"/>
  <c r="H41" i="2" s="1"/>
  <c r="H37" i="2" s="1"/>
  <c r="I36" i="2"/>
  <c r="I35" i="2"/>
  <c r="I34" i="2"/>
  <c r="D35" i="2"/>
  <c r="D34" i="2"/>
  <c r="H29" i="2"/>
  <c r="D29" i="2"/>
  <c r="I28" i="2"/>
  <c r="I27" i="2"/>
  <c r="I26" i="2"/>
  <c r="I25" i="2"/>
  <c r="I24" i="2"/>
  <c r="I23" i="2"/>
  <c r="I22" i="2"/>
  <c r="H10" i="2"/>
  <c r="H19" i="2" s="1"/>
  <c r="I19" i="2" s="1"/>
  <c r="D10" i="2"/>
  <c r="D18" i="2" s="1"/>
  <c r="I9" i="2"/>
  <c r="I8" i="2"/>
  <c r="H7" i="2"/>
  <c r="I7" i="2" s="1"/>
  <c r="D7" i="2"/>
  <c r="H6" i="2"/>
  <c r="I6" i="2" s="1"/>
  <c r="D6" i="2"/>
  <c r="H5" i="2"/>
  <c r="I5" i="2" s="1"/>
  <c r="D5" i="2"/>
  <c r="H42" i="2" l="1"/>
  <c r="E38" i="2"/>
  <c r="E42" i="2"/>
  <c r="D42" i="2"/>
  <c r="D38" i="2"/>
  <c r="F38" i="2"/>
  <c r="H38" i="2" s="1"/>
  <c r="G42" i="2"/>
  <c r="I33" i="2"/>
  <c r="E43" i="2"/>
  <c r="G43" i="2"/>
  <c r="H43" i="2"/>
  <c r="E39" i="2"/>
  <c r="D43" i="2"/>
  <c r="F39" i="2"/>
  <c r="H39" i="2" s="1"/>
  <c r="D39" i="2"/>
  <c r="D19" i="2"/>
  <c r="D20" i="2"/>
  <c r="D13" i="2"/>
  <c r="D15" i="2"/>
  <c r="D11" i="2"/>
  <c r="D16" i="2"/>
  <c r="D21" i="2"/>
  <c r="D3" i="2"/>
  <c r="D12" i="2"/>
  <c r="D17" i="2"/>
  <c r="H14" i="2"/>
  <c r="I14" i="2" s="1"/>
  <c r="H17" i="2"/>
  <c r="I17" i="2" s="1"/>
  <c r="H3" i="2"/>
  <c r="H18" i="2"/>
  <c r="I18" i="2" s="1"/>
  <c r="I10" i="2"/>
  <c r="I3" i="2" s="1"/>
  <c r="H13" i="2"/>
  <c r="I13" i="2" s="1"/>
  <c r="H21" i="2"/>
  <c r="I21" i="2" s="1"/>
  <c r="H12" i="2"/>
  <c r="I12" i="2" s="1"/>
  <c r="H16" i="2"/>
  <c r="I16" i="2" s="1"/>
  <c r="H20" i="2"/>
  <c r="I20" i="2" s="1"/>
  <c r="H11" i="2"/>
  <c r="I11" i="2" s="1"/>
  <c r="D14" i="2"/>
  <c r="H15" i="2"/>
  <c r="I15" i="2" s="1"/>
</calcChain>
</file>

<file path=xl/sharedStrings.xml><?xml version="1.0" encoding="utf-8"?>
<sst xmlns="http://schemas.openxmlformats.org/spreadsheetml/2006/main" count="859" uniqueCount="320">
  <si>
    <t>One measurement [@abu2011chickpeatempeh]</t>
  </si>
  <si>
    <t>mg</t>
  </si>
  <si>
    <t>Copper</t>
  </si>
  <si>
    <t>Zinc</t>
  </si>
  <si>
    <t>Iron</t>
  </si>
  <si>
    <t>Sodium</t>
  </si>
  <si>
    <t>Magnesium</t>
  </si>
  <si>
    <t>Potassium</t>
  </si>
  <si>
    <t>Minerals</t>
  </si>
  <si>
    <t>-</t>
  </si>
  <si>
    <t>g</t>
  </si>
  <si>
    <t>Warning: there is a mistake in the unit of Table 2 (g/kg of protein, instead of g/100g of protein) for [@angulo2008chickpeatempeh]</t>
  </si>
  <si>
    <t>Valine</t>
  </si>
  <si>
    <t>One measurement [@angulo2008chickpeatempeh]</t>
  </si>
  <si>
    <t>Tryptophan</t>
  </si>
  <si>
    <t>Lysine</t>
  </si>
  <si>
    <t>Leucine</t>
  </si>
  <si>
    <t>Isoleucine</t>
  </si>
  <si>
    <t>Histidine</t>
  </si>
  <si>
    <t>Amino acids</t>
  </si>
  <si>
    <t>Average of 3 measurements [@abu2011chickpeatempeh;@reyes2004chickpeatempeh;@ashenafi1991tempeh1]</t>
  </si>
  <si>
    <t>Protein</t>
  </si>
  <si>
    <t>Carbohydrates</t>
  </si>
  <si>
    <t>Fat</t>
  </si>
  <si>
    <t>Water</t>
  </si>
  <si>
    <t>= Fat(g) * 9 + Carbs(g) *4 + Protein(g) * 4</t>
  </si>
  <si>
    <t>Calories or kcal</t>
  </si>
  <si>
    <t>Energy</t>
  </si>
  <si>
    <t>Macronutrients</t>
  </si>
  <si>
    <t>fresh</t>
  </si>
  <si>
    <t>dehydrated</t>
  </si>
  <si>
    <t>raw, dry</t>
  </si>
  <si>
    <t>per 100 g</t>
  </si>
  <si>
    <t>Notes</t>
  </si>
  <si>
    <t>References</t>
  </si>
  <si>
    <t>Chickpea tempeh</t>
  </si>
  <si>
    <t>Chickpea</t>
  </si>
  <si>
    <t>Unit</t>
  </si>
  <si>
    <t>#</t>
  </si>
  <si>
    <t>##### References</t>
  </si>
  <si>
    <t># Credit to Elegant Experiments, 2021, https://www.elegantexperiments.net/en/post/chickpea-tempeh-review</t>
  </si>
  <si>
    <t># Creative Commons Attribution (CC-BY) - https://creativecommons.org/licenses/by/4.0/</t>
  </si>
  <si>
    <t>##### License</t>
  </si>
  <si>
    <t># Publisher: Elegant Experiments</t>
  </si>
  <si>
    <t># Date: Apr 2021</t>
  </si>
  <si>
    <t># Author: Lénaïc Pardon</t>
  </si>
  <si>
    <t>##### Author &amp; Date</t>
  </si>
  <si>
    <t xml:space="preserve"># </t>
  </si>
  <si>
    <t># https://www.elegantexperiments.net/en/post/chickpea-tempeh-review</t>
  </si>
  <si>
    <t># Chickpea tempeh nutrition facts</t>
  </si>
  <si>
    <t>##### Title &amp; Source</t>
  </si>
  <si>
    <t>[@angulo2008chickpeatempeh]</t>
  </si>
  <si>
    <t>[@abu2011chickpeatempeh;@reyes2004chickpeatempeh;@ashenafi1991tempeh1]</t>
  </si>
  <si>
    <t xml:space="preserve">[@abu2011chickpeatempeh;@angulo2008chickpeatempeh] </t>
  </si>
  <si>
    <t>— Fibers</t>
  </si>
  <si>
    <t>— Total starch</t>
  </si>
  <si>
    <t>—— Resistant starch</t>
  </si>
  <si>
    <t>Calcium</t>
  </si>
  <si>
    <t>[@abu2011chickpeatempeh]</t>
  </si>
  <si>
    <t>[@erkan2020chickpeatempeh]</t>
  </si>
  <si>
    <t>One measurement [@erkan2020chickpeatempeh]</t>
  </si>
  <si>
    <t>Protein digestibility</t>
  </si>
  <si>
    <t>In Vitro Protein Digestibility</t>
  </si>
  <si>
    <t>%</t>
  </si>
  <si>
    <t>In Vivo Apparent Protein Digestibility</t>
  </si>
  <si>
    <t>In Vivo True Protein Digestibility</t>
  </si>
  <si>
    <t xml:space="preserve">Protein Digestibility Corrected Amino Acid Score </t>
  </si>
  <si>
    <t>[@abu2011chickpeatempeh;@reyes2004chickpeatempeh]</t>
  </si>
  <si>
    <t>[@abu2011chickpeatempeh;@reyes2000chickpeatempeh;@reyes2004chickpeatempeh]</t>
  </si>
  <si>
    <t xml:space="preserve">Average of three measurements  [@abu2011chickpeatempeh;@reyes2004chickpeatempeh;@reyes2004chickpeatempeh]. </t>
  </si>
  <si>
    <t>Note that it seems [@angulo2008chickpeatempeh] copy-pasted the results from their previous study [@reyes2004chickpeatempeh], hence I accounted for this measurement only once to calculate the average. Also, I only use the average value from @reyes2004chickpeatempeh, but they obtained 13 values, from 13 combinations of temperature and fermentation time.</t>
  </si>
  <si>
    <t>[@reyes2004chickpeatempeh;@ashenafi1991tempeh1;@abu2011chickpeatempeh]</t>
  </si>
  <si>
    <t>[@reyes2004chickpeatempeh;@abu2011chickpeatempeh]</t>
  </si>
  <si>
    <t>[@ashenafi1991tempeh1;@abu2011chickpeatempeh]</t>
  </si>
  <si>
    <t>Average of two measurement [@reyes2004chickpeatempeh;@abu2011chickpeatempeh]</t>
  </si>
  <si>
    <t>Average of 3 measurements [@reyes2004chickpeatempeh;@ashenafi1991tempeh1;@abu2011chickpeatempeh]</t>
  </si>
  <si>
    <t>Methionine</t>
  </si>
  <si>
    <t>Cystine</t>
  </si>
  <si>
    <t>Phenylalanine</t>
  </si>
  <si>
    <t>Tyrosine</t>
  </si>
  <si>
    <t xml:space="preserve">Average of 2 measurements [@abu2011chickpeatempeh;@angulo2008chickpeatempeh] </t>
  </si>
  <si>
    <t>Calculation details</t>
  </si>
  <si>
    <t>Phytic acid</t>
  </si>
  <si>
    <t>Tannins</t>
  </si>
  <si>
    <t>Trypsin inhibitor</t>
  </si>
  <si>
    <t>Total phenols</t>
  </si>
  <si>
    <t>TI/mg</t>
  </si>
  <si>
    <t>g catechin</t>
  </si>
  <si>
    <t>soaked</t>
  </si>
  <si>
    <t>soaked, cooked</t>
  </si>
  <si>
    <t>soaked, dehulled, cooked</t>
  </si>
  <si>
    <t>Average of 2 measurements fro chickpea and chickpea tempeh [@abu2011chickpeatempeh;@reyes2004chickpeatempeh]. One measurement for other cases [@abu2011chickpeatempeh].</t>
  </si>
  <si>
    <t>% decrease</t>
  </si>
  <si>
    <t>Items</t>
  </si>
  <si>
    <t>Groups</t>
  </si>
  <si>
    <t>Antinutrients</t>
  </si>
  <si>
    <t>Average of 3 measurements for chickpea tempeh [@abu2011chickpeatempeh;@reyes2000chickpeatempeh;@reyes2004chickpeatempeh]; one measurement for other cases.</t>
  </si>
  <si>
    <t>Antinutrients (no dehulling)</t>
  </si>
  <si>
    <t>Antinutrients (dehulling)</t>
  </si>
  <si>
    <t>I estimate the antinutrients content of chickpea tempeh without dehulling (not measured by Abu 2011) by extrapolating with the same slope as for the dehulled version (measured by Abu 2011). It may overestimate the loss of antinutrients in this case, though.</t>
  </si>
  <si>
    <t>Threonine</t>
  </si>
  <si>
    <t>[@abu2011chickpeatempeh;@reyes2004chickpeatempeh;@reyes2000chickpeatempeh]</t>
  </si>
  <si>
    <t>Author</t>
  </si>
  <si>
    <t>Precision</t>
  </si>
  <si>
    <t>Language</t>
  </si>
  <si>
    <t>Type</t>
  </si>
  <si>
    <t>Blog post</t>
  </si>
  <si>
    <t>Video</t>
  </si>
  <si>
    <t>Chickpeas</t>
  </si>
  <si>
    <t>Soaking</t>
  </si>
  <si>
    <t>Cooking</t>
  </si>
  <si>
    <t>Acidification</t>
  </si>
  <si>
    <t>Tempeh starter</t>
  </si>
  <si>
    <t>Germinated</t>
  </si>
  <si>
    <t>Dehulled</t>
  </si>
  <si>
    <t>Broken</t>
  </si>
  <si>
    <t>Container</t>
  </si>
  <si>
    <t>Perforations intervals</t>
  </si>
  <si>
    <t>Fermentation chamber</t>
  </si>
  <si>
    <t>Thickness</t>
  </si>
  <si>
    <t>Temperature</t>
  </si>
  <si>
    <t>Incubation</t>
  </si>
  <si>
    <t>Source link</t>
  </si>
  <si>
    <t>type</t>
  </si>
  <si>
    <t>diameter</t>
  </si>
  <si>
    <t>quantity</t>
  </si>
  <si>
    <t>duration</t>
  </si>
  <si>
    <t>source</t>
  </si>
  <si>
    <t>inches</t>
  </si>
  <si>
    <t>cm</t>
  </si>
  <si>
    <t>°F</t>
  </si>
  <si>
    <t>°C</t>
  </si>
  <si>
    <t>hours</t>
  </si>
  <si>
    <t>Superfood Evolution</t>
  </si>
  <si>
    <t>Very good</t>
  </si>
  <si>
    <t>English</t>
  </si>
  <si>
    <t>Online recipe</t>
  </si>
  <si>
    <t>Yes</t>
  </si>
  <si>
    <t>No</t>
  </si>
  <si>
    <t>Dry chickpeas</t>
  </si>
  <si>
    <t>Overnight, in pure, filtered non-chlorinated hot boiling water</t>
  </si>
  <si>
    <t>until soft</t>
  </si>
  <si>
    <t>Apple cider vinegar (unpasteurized)</t>
  </si>
  <si>
    <t>2 tbsp (30 mL), added to cooked chickpeas</t>
  </si>
  <si>
    <t>2 tsp</t>
  </si>
  <si>
    <t>Yes, after soaking</t>
  </si>
  <si>
    <t>Yes, with food processor or potato masher</t>
  </si>
  <si>
    <t>Drilled plastic box</t>
  </si>
  <si>
    <t>1.5-2</t>
  </si>
  <si>
    <t>3.5-5</t>
  </si>
  <si>
    <t>Multiple (cooler, oven, etc.)</t>
  </si>
  <si>
    <t>1/2-3/4</t>
  </si>
  <si>
    <t>1.2-2</t>
  </si>
  <si>
    <t>85-90</t>
  </si>
  <si>
    <t>29-32</t>
  </si>
  <si>
    <t>24-36</t>
  </si>
  <si>
    <t>https://www.superfoodevolution.com/homemade-tempeh-recipe.html</t>
  </si>
  <si>
    <t>Full of plants</t>
  </si>
  <si>
    <t>Good</t>
  </si>
  <si>
    <t>Small dry chickpeas</t>
  </si>
  <si>
    <t>Overnight, in clean water</t>
  </si>
  <si>
    <t>60-90 min</t>
  </si>
  <si>
    <t>White vinegar</t>
  </si>
  <si>
    <t>1 tbsp (15 mL), added to cooked chickpeas</t>
  </si>
  <si>
    <t>1 tsp</t>
  </si>
  <si>
    <t>Plastic freezer bag</t>
  </si>
  <si>
    <t>Oven off with light on</t>
  </si>
  <si>
    <t>38-50</t>
  </si>
  <si>
    <t>https://fullofplants.com/how-to-make-chickpea-tempeh/</t>
  </si>
  <si>
    <t>Gourmet Vegetarian Kitchen</t>
  </si>
  <si>
    <t>Yes (12 min 14)</t>
  </si>
  <si>
    <t>Overnight</t>
  </si>
  <si>
    <t>Apple cider vinegar</t>
  </si>
  <si>
    <t>1/2 tsp (5 mL)</t>
  </si>
  <si>
    <t>Yes, roughly smashed</t>
  </si>
  <si>
    <t>Glass container</t>
  </si>
  <si>
    <t>Wooden box</t>
  </si>
  <si>
    <t>72-96</t>
  </si>
  <si>
    <t>http://gourmetvegetariankitchen.com/2020/01/31/homemade-soy-free-tempeh-3-kinds/</t>
  </si>
  <si>
    <t>Cultures for Health</t>
  </si>
  <si>
    <t>Fair</t>
  </si>
  <si>
    <t>12-24 h</t>
  </si>
  <si>
    <t>60 min</t>
  </si>
  <si>
    <t>Vinegar</t>
  </si>
  <si>
    <t>1 packet</t>
  </si>
  <si>
    <t>Yes, gently pound with potato masher</t>
  </si>
  <si>
    <t>Plastic bag</t>
  </si>
  <si>
    <t>1-2</t>
  </si>
  <si>
    <t>2.5-5</t>
  </si>
  <si>
    <t>24-48</t>
  </si>
  <si>
    <t>https://www.culturesforhealth.com/learn/recipe/soy-recipes/soy-free-chickpea-tempeh/</t>
  </si>
  <si>
    <t>Enni Sitepu</t>
  </si>
  <si>
    <t>Yes (6 min 36)</t>
  </si>
  <si>
    <t>Tinned chickpeas</t>
  </si>
  <si>
    <t>700 g</t>
  </si>
  <si>
    <t>20 min</t>
  </si>
  <si>
    <t>2 tbsp (30 mL), added during cooking</t>
  </si>
  <si>
    <t>0.8-1</t>
  </si>
  <si>
    <t>2-3</t>
  </si>
  <si>
    <t>Oven off</t>
  </si>
  <si>
    <t>https://www.youtube.com/watch?v=ashdvb4FXKg</t>
  </si>
  <si>
    <t>Le cul de poule</t>
  </si>
  <si>
    <t>French</t>
  </si>
  <si>
    <t>350 g</t>
  </si>
  <si>
    <t>24 h</t>
  </si>
  <si>
    <t>25 min</t>
  </si>
  <si>
    <t>7 g</t>
  </si>
  <si>
    <t>Yes, 24-48 h</t>
  </si>
  <si>
    <t>Home fermenter</t>
  </si>
  <si>
    <t>60-84</t>
  </si>
  <si>
    <t>https://leculdepoule.co/2021/02/19/tempeh-de-pois-chiches/</t>
  </si>
  <si>
    <t>TazPantry</t>
  </si>
  <si>
    <t>Yes (5 min 42)</t>
  </si>
  <si>
    <t>8 h minimum</t>
  </si>
  <si>
    <t>30-60 min</t>
  </si>
  <si>
    <t>4 tbsp (60 mL), added during cooking</t>
  </si>
  <si>
    <t>3/4 tsp (3 g)</t>
  </si>
  <si>
    <t>0.4-0.8</t>
  </si>
  <si>
    <t>DIY - cardboard with heater and moisture</t>
  </si>
  <si>
    <t>85-91</t>
  </si>
  <si>
    <t>29-33</t>
  </si>
  <si>
    <t>36-48</t>
  </si>
  <si>
    <t>https://www.youtube.com/watch?v=PMWHKHXHjx8</t>
  </si>
  <si>
    <t>Fermenting for foodies</t>
  </si>
  <si>
    <t>Low</t>
  </si>
  <si>
    <t>6-8 h</t>
  </si>
  <si>
    <t>30-40 min</t>
  </si>
  <si>
    <t>Slow cooker</t>
  </si>
  <si>
    <t>https://www.fermentingforfoodies.com/lentils-chickpeas-bean-tempeh/</t>
  </si>
  <si>
    <t>La cuisine végétale de Christine</t>
  </si>
  <si>
    <t>530 g</t>
  </si>
  <si>
    <t>2-3 min</t>
  </si>
  <si>
    <t>1 tbsp (15 mL), added during cooking</t>
  </si>
  <si>
    <t>numerous holes</t>
  </si>
  <si>
    <t>Dehydrator</t>
  </si>
  <si>
    <t>http://10100christine.canalblog.com/archives/2016/08/22/34215329.html</t>
  </si>
  <si>
    <t>Maurica IndoBule</t>
  </si>
  <si>
    <t>Yes (5 min 11)</t>
  </si>
  <si>
    <t>12 h minimum</t>
  </si>
  <si>
    <t>Yes, manually halved</t>
  </si>
  <si>
    <t>https://www.youtube.com/watch?v=nWO3VMctWVo</t>
  </si>
  <si>
    <t>Tempeh Info</t>
  </si>
  <si>
    <t>600 g</t>
  </si>
  <si>
    <t>8 h in 2 L of water</t>
  </si>
  <si>
    <t>Vegan lactic acid 80%</t>
  </si>
  <si>
    <t>2 tsp (10 mL), added during cooking</t>
  </si>
  <si>
    <t>1 tsp (3-5 g)</t>
  </si>
  <si>
    <t>Plastic bag (18 x 18 cm)</t>
  </si>
  <si>
    <t>https://www.tempeh.info/maketempeh/chickpea-tempeh.php</t>
  </si>
  <si>
    <t>Erkan et al., 2020</t>
  </si>
  <si>
    <t>Research paper (measurements)</t>
  </si>
  <si>
    <t>0.5 mm</t>
  </si>
  <si>
    <t>2 h in tap water</t>
  </si>
  <si>
    <t>30 min</t>
  </si>
  <si>
    <t>Grape vinegar</t>
  </si>
  <si>
    <t>2.85 mL / 100 g cooked chickpeas</t>
  </si>
  <si>
    <t>0.4 g / 100 g</t>
  </si>
  <si>
    <t>Yes, after cooking</t>
  </si>
  <si>
    <t>Drying-oven</t>
  </si>
  <si>
    <t>86-93</t>
  </si>
  <si>
    <t>30-34</t>
  </si>
  <si>
    <t>https://doi.org/10.1016/j.lwt.2019.108880</t>
  </si>
  <si>
    <t>Abu-Salem et al., 2011</t>
  </si>
  <si>
    <t>16 h at 25°C in vinegar water (100 g chickpea / 400 g solution)</t>
  </si>
  <si>
    <t>30 min, 90°C</t>
  </si>
  <si>
    <t>Vinegar (acetic acid)</t>
  </si>
  <si>
    <t>vinegar water, pH 3.1, used during soaking</t>
  </si>
  <si>
    <t>Plastic bag (15 x 15 cm)</t>
  </si>
  <si>
    <t>86-99</t>
  </si>
  <si>
    <t>30-37</t>
  </si>
  <si>
    <t>43-77</t>
  </si>
  <si>
    <t>https://www.academia.edu/download/31869803/019_6081am0707_107_118_tempeh.pdf</t>
  </si>
  <si>
    <t>Angulo-Bejarano et al., 2008</t>
  </si>
  <si>
    <t>https://doi.org/10.1016/j.foodchem.2007.05.049</t>
  </si>
  <si>
    <t>Reyes-Moreno et al., 2004</t>
  </si>
  <si>
    <t>Research paper (measurements + modelling)</t>
  </si>
  <si>
    <t>Extra-large dry chickpeas</t>
  </si>
  <si>
    <t>10 mm</t>
  </si>
  <si>
    <t>88-97</t>
  </si>
  <si>
    <t>31-36</t>
  </si>
  <si>
    <t>48-72</t>
  </si>
  <si>
    <t>https://doi.org/10.1002/jsfa.1637</t>
  </si>
  <si>
    <t>Ashenafi &amp; Busse, 1991</t>
  </si>
  <si>
    <t>Dehulled dry chickpeas</t>
  </si>
  <si>
    <t>200 g</t>
  </si>
  <si>
    <t>24 h at 30°C in tap water (200 g / 600 mL water)</t>
  </si>
  <si>
    <t>100°C</t>
  </si>
  <si>
    <t>Vinegar (acetic acid), or No acidification</t>
  </si>
  <si>
    <t>1.5 mL, used during soaking, or No vinegar</t>
  </si>
  <si>
    <t>1.2 x 10 spores/100 g cooked chickpeas</t>
  </si>
  <si>
    <t>No, but hull-free seeds</t>
  </si>
  <si>
    <t>Yes, store-bought split seeds</t>
  </si>
  <si>
    <t>35-40</t>
  </si>
  <si>
    <t>https://www.researchgate.net/profile/Mogessie_Ashenafi/publication/278940317_Production_of_Tempeh_from_various_indigenous_Ethiopian_legumes/links/566c494d08ae1a797e3d768f.pdf</t>
  </si>
  <si>
    <t>Video link</t>
  </si>
  <si>
    <t>https://www.youtube.com/watch?v=SKmwcLfWL-k</t>
  </si>
  <si>
    <t>1 cup (~160 g)</t>
  </si>
  <si>
    <t>3 cups (~490 g)</t>
  </si>
  <si>
    <t>2 cups (~330 g)</t>
  </si>
  <si>
    <t>1 lb. (~450 g)</t>
  </si>
  <si>
    <t>proportion</t>
  </si>
  <si>
    <t>proportion (tbsp/kg dry chickpeas)</t>
  </si>
  <si>
    <t>1 cup (235 mL, ~160 g)</t>
  </si>
  <si>
    <t>4 tsp / kg dry chickpea</t>
  </si>
  <si>
    <t>6 tsp / kg dry chickpea</t>
  </si>
  <si>
    <t>3 tsp / kg dry chickpea</t>
  </si>
  <si>
    <t>1.5 tsp / kg dry chickpea</t>
  </si>
  <si>
    <t>9 g / kg dry chickpea</t>
  </si>
  <si>
    <t>20 g / kg dry chickpea</t>
  </si>
  <si>
    <t>7 g / kg dry chickpea</t>
  </si>
  <si>
    <r>
      <t xml:space="preserve">Tannins were assayed in accordance with the modified vanillin-HCL method of </t>
    </r>
    <r>
      <rPr>
        <i/>
        <sz val="10"/>
        <color theme="1"/>
        <rFont val="Calibri"/>
        <family val="2"/>
        <scheme val="minor"/>
      </rPr>
      <t xml:space="preserve">Price et al., (1978) </t>
    </r>
    <r>
      <rPr>
        <sz val="10"/>
        <color theme="1"/>
        <rFont val="Calibri"/>
        <family val="2"/>
        <scheme val="minor"/>
      </rPr>
      <t xml:space="preserve">and catechin was used as the reference standard. </t>
    </r>
  </si>
  <si>
    <r>
      <t xml:space="preserve">Trypsin inhibitor activity (TIA) was measured by the method described by </t>
    </r>
    <r>
      <rPr>
        <i/>
        <sz val="10"/>
        <color theme="1"/>
        <rFont val="Calibri"/>
        <family val="2"/>
        <scheme val="minor"/>
      </rPr>
      <t xml:space="preserve">Hamerstrand et al. (1981). </t>
    </r>
  </si>
  <si>
    <r>
      <t xml:space="preserve">Total phenolics compounds were estimated according to the method described by </t>
    </r>
    <r>
      <rPr>
        <i/>
        <sz val="10"/>
        <color theme="1"/>
        <rFont val="Calibri"/>
        <family val="2"/>
        <scheme val="minor"/>
      </rPr>
      <t>Meda et al. (2005)</t>
    </r>
    <r>
      <rPr>
        <sz val="10"/>
        <color theme="1"/>
        <rFont val="Calibri"/>
        <family val="2"/>
        <scheme val="minor"/>
      </rPr>
      <t xml:space="preserve">. </t>
    </r>
  </si>
  <si>
    <t>Reyes-Moreno C, Cuevas-Rodrı'guez E, Milán-Carrillo J, Cárdenas-Valenzuela O, Barrón-Hoyos J. Solid state fermentation process for producing chickpea (cicer arietinum l) tempeh flour. Physicochemical and nutritional characteristics of the product. Journal of the Science of Food and Agriculture. 2004;84(3):271-278. https://doi.org/10.1002/jsfa.1637.</t>
  </si>
  <si>
    <t>Ashenafi M, Busse M. Production of tempeh from various indigenous ethiopian beans. World Journal of Microbiology &amp; Biotechnology. 1991;7(1):72-79. https://www.researchgate.net/profile/Mogessie_Ashenafi/publication/278940317_Production_of_Tempeh_from_various_indigenous_Ethiopian_legumes/links/566c494d08ae1a797e3d768f.pdf.</t>
  </si>
  <si>
    <t>Angulo-Bejarano PI, Verdugo-Montoya NM, Cuevas-Rodrı'guez EO, et al. Tempeh flour from chickpea (cicer arietinum l.) nutritional and physicochemical properties. Food Chemistry. 2008;106(1):106-112. https://doi.org/10.1016/j.foodchem.2007.05.049.</t>
  </si>
  <si>
    <t>Abu-Salem FM, Abou-Arab EA, others. Physico-chemical properties of tempeh produced from chickpea seeds. Journal of American science. 2011;7(7):107-118. https://www.academia.edu/download/31869803/019_6081am0707_107_118_tempeh.pdf.</t>
  </si>
  <si>
    <t>Erkan SB, Gürler HN, Bilgin DG, Germec M, Turhan I. Production and characterization of tempehs from different sources of legume by rhizopus oligosporus. LWT. 2020;119:108880. https://doi.org/10.1016/j.lwt.2019.108880.</t>
  </si>
  <si>
    <t>Reyes-Moreno C, Romero-Urias C, Milan-Carrillo J, Valdez-Torres B, Zarate-Marquez E. Optimization of the solid state fermentation process to obtain tempeh from hardened chickpeas (cicer arietinum l.). Plant Foods for Human Nutrition. 2000;55(3):219-228. https://link.springer.com/article/10.1023/A:1008192214018.</t>
  </si>
  <si>
    <t>Reyes-Moreno et al., 2000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</si>
</sst>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8" x14ac:knownFonts="1">
    <font>
      <sz val="12"/>
      <color theme="1"/>
      <name val="Calibri"/>
      <family val="2"/>
      <scheme val="minor"/>
    </font>
    <font>
      <sz val="12"/>
      <color theme="1"/>
      <name val="Calibri"/>
      <family val="2"/>
      <scheme val="minor"/>
    </font>
    <font>
      <sz val="12"/>
      <color rgb="FF000000"/>
      <name val="Calibri"/>
      <family val="2"/>
      <scheme val="minor"/>
    </font>
    <font>
      <b/>
      <sz val="12"/>
      <color rgb="FF000000"/>
      <name val="Calibri"/>
      <family val="2"/>
      <scheme val="minor"/>
    </font>
    <font>
      <i/>
      <sz val="12"/>
      <color rgb="FF000000"/>
      <name val="Calibri"/>
      <family val="2"/>
      <scheme val="minor"/>
    </font>
    <font>
      <b/>
      <sz val="12"/>
      <color theme="1"/>
      <name val="Calibri"/>
      <family val="2"/>
      <scheme val="minor"/>
    </font>
    <font>
      <sz val="10"/>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6" tint="0.59999389629810485"/>
        <bgColor indexed="64"/>
      </patternFill>
    </fill>
  </fills>
  <borders count="1">
    <border>
      <left/>
      <right/>
      <top/>
      <bottom/>
      <diagonal/>
    </border>
  </borders>
  <cellStyleXfs count="2">
    <xf numFmtId="0" fontId="0" fillId="0" borderId="0"/>
    <xf numFmtId="9" fontId="1" fillId="0" borderId="0" applyFont="0" applyFill="0" applyBorder="0" applyAlignment="0" applyProtection="0"/>
  </cellStyleXfs>
  <cellXfs count="33">
    <xf numFmtId="0" fontId="0" fillId="0" borderId="0" xfId="0"/>
    <xf numFmtId="0" fontId="2" fillId="0" borderId="0" xfId="0" applyFont="1"/>
    <xf numFmtId="164" fontId="2" fillId="0" borderId="0" xfId="0" applyNumberFormat="1" applyFont="1" applyAlignment="1">
      <alignment horizontal="center"/>
    </xf>
    <xf numFmtId="1" fontId="2" fillId="0" borderId="0" xfId="0" applyNumberFormat="1" applyFont="1" applyAlignment="1">
      <alignment horizontal="center"/>
    </xf>
    <xf numFmtId="0" fontId="3" fillId="0" borderId="0" xfId="0" applyFont="1"/>
    <xf numFmtId="0" fontId="3" fillId="0" borderId="0" xfId="0" applyFont="1" applyAlignment="1">
      <alignment horizontal="center"/>
    </xf>
    <xf numFmtId="0" fontId="2" fillId="0" borderId="0" xfId="0" applyFont="1" applyAlignment="1">
      <alignment horizontal="center"/>
    </xf>
    <xf numFmtId="0" fontId="2" fillId="0" borderId="0" xfId="0" quotePrefix="1" applyFont="1"/>
    <xf numFmtId="0" fontId="4"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0" xfId="0" applyFill="1"/>
    <xf numFmtId="9" fontId="0" fillId="0" borderId="0" xfId="1" applyFont="1" applyAlignment="1">
      <alignment horizontal="center"/>
    </xf>
    <xf numFmtId="9" fontId="0" fillId="0" borderId="0" xfId="1" applyFont="1"/>
    <xf numFmtId="0" fontId="2" fillId="0" borderId="0" xfId="0" applyFont="1" applyFill="1"/>
    <xf numFmtId="2" fontId="2" fillId="0" borderId="0" xfId="0" applyNumberFormat="1" applyFont="1" applyAlignment="1">
      <alignment horizontal="center"/>
    </xf>
    <xf numFmtId="2" fontId="0" fillId="0" borderId="0" xfId="1" applyNumberFormat="1" applyFont="1" applyAlignment="1">
      <alignment horizontal="center"/>
    </xf>
    <xf numFmtId="1" fontId="0" fillId="0" borderId="0" xfId="1" applyNumberFormat="1" applyFont="1" applyAlignment="1">
      <alignment horizontal="center"/>
    </xf>
    <xf numFmtId="164" fontId="0" fillId="0" borderId="0" xfId="1" applyNumberFormat="1" applyFont="1" applyAlignment="1">
      <alignment horizontal="center"/>
    </xf>
    <xf numFmtId="0" fontId="5" fillId="0" borderId="0" xfId="0" applyFont="1"/>
    <xf numFmtId="165" fontId="0" fillId="0" borderId="0" xfId="1" applyNumberFormat="1" applyFont="1" applyAlignment="1">
      <alignment horizontal="center"/>
    </xf>
    <xf numFmtId="1" fontId="0" fillId="2" borderId="0" xfId="1" applyNumberFormat="1" applyFont="1" applyFill="1" applyAlignment="1">
      <alignment horizontal="center"/>
    </xf>
    <xf numFmtId="0" fontId="5" fillId="0" borderId="0" xfId="0" applyFont="1" applyAlignment="1">
      <alignment horizontal="left"/>
    </xf>
    <xf numFmtId="0" fontId="0" fillId="0" borderId="0" xfId="0" quotePrefix="1" applyAlignment="1">
      <alignment horizontal="center"/>
    </xf>
    <xf numFmtId="0" fontId="0" fillId="0" borderId="0" xfId="0" applyFont="1"/>
    <xf numFmtId="1" fontId="0" fillId="0" borderId="0" xfId="0" applyNumberFormat="1" applyFont="1" applyAlignment="1">
      <alignment horizontal="center"/>
    </xf>
    <xf numFmtId="1" fontId="0" fillId="0" borderId="0" xfId="0" applyNumberFormat="1" applyFont="1" applyFill="1" applyAlignment="1">
      <alignment horizontal="center"/>
    </xf>
    <xf numFmtId="1" fontId="0" fillId="0" borderId="0" xfId="0" applyNumberFormat="1" applyFont="1" applyFill="1" applyAlignment="1">
      <alignment horizontal="left"/>
    </xf>
    <xf numFmtId="164" fontId="0" fillId="0" borderId="0" xfId="0" applyNumberFormat="1" applyFont="1" applyAlignment="1">
      <alignment horizontal="center"/>
    </xf>
    <xf numFmtId="0" fontId="6" fillId="0" borderId="0" xfId="0" applyFont="1"/>
    <xf numFmtId="2" fontId="0" fillId="0" borderId="0" xfId="0" applyNumberFormat="1" applyFont="1" applyAlignment="1">
      <alignment horizontal="center"/>
    </xf>
    <xf numFmtId="0" fontId="0" fillId="0" borderId="0" xfId="0" applyFont="1" applyAlignment="1">
      <alignment horizontal="center"/>
    </xf>
    <xf numFmtId="0" fontId="0" fillId="2" borderId="0" xfId="0" applyFont="1" applyFill="1"/>
  </cellXfs>
  <cellStyles count="2">
    <cellStyle name="Normal" xfId="0" builtinId="0"/>
    <cellStyle name="Per 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hyperlink" Target="https://www.youtube.com/channel/UC3kcNdG7IE9DXKubICrDEhg" TargetMode="External"/><Relationship Id="rId2" Type="http://schemas.openxmlformats.org/officeDocument/2006/relationships/hyperlink" Target="https://www.youtube.com/channel/UCafwHIJLXpJXEfoX0ZaQanA" TargetMode="External"/><Relationship Id="rId1" Type="http://schemas.openxmlformats.org/officeDocument/2006/relationships/hyperlink" Target="https://www.youtube.com/channel/UCUwqMScOL4FgcFRPPsNvVQ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42355C-A389-694F-B2C4-17A9AE525CE7}">
  <dimension ref="A1:B21"/>
  <sheetViews>
    <sheetView workbookViewId="0">
      <selection activeCell="C22" sqref="C22"/>
    </sheetView>
  </sheetViews>
  <sheetFormatPr baseColWidth="10" defaultRowHeight="16" x14ac:dyDescent="0.2"/>
  <cols>
    <col min="1" max="1" width="25.6640625" customWidth="1"/>
  </cols>
  <sheetData>
    <row r="1" spans="1:2" x14ac:dyDescent="0.2">
      <c r="A1" t="s">
        <v>38</v>
      </c>
    </row>
    <row r="2" spans="1:2" x14ac:dyDescent="0.2">
      <c r="A2" t="s">
        <v>50</v>
      </c>
    </row>
    <row r="3" spans="1:2" x14ac:dyDescent="0.2">
      <c r="A3" t="s">
        <v>49</v>
      </c>
    </row>
    <row r="4" spans="1:2" x14ac:dyDescent="0.2">
      <c r="A4" t="s">
        <v>48</v>
      </c>
    </row>
    <row r="5" spans="1:2" x14ac:dyDescent="0.2">
      <c r="A5" t="s">
        <v>47</v>
      </c>
    </row>
    <row r="6" spans="1:2" x14ac:dyDescent="0.2">
      <c r="A6" t="s">
        <v>46</v>
      </c>
    </row>
    <row r="7" spans="1:2" x14ac:dyDescent="0.2">
      <c r="A7" t="s">
        <v>45</v>
      </c>
    </row>
    <row r="8" spans="1:2" x14ac:dyDescent="0.2">
      <c r="A8" t="s">
        <v>44</v>
      </c>
    </row>
    <row r="9" spans="1:2" x14ac:dyDescent="0.2">
      <c r="A9" t="s">
        <v>43</v>
      </c>
    </row>
    <row r="10" spans="1:2" x14ac:dyDescent="0.2">
      <c r="A10" t="s">
        <v>38</v>
      </c>
    </row>
    <row r="11" spans="1:2" x14ac:dyDescent="0.2">
      <c r="A11" t="s">
        <v>42</v>
      </c>
    </row>
    <row r="12" spans="1:2" x14ac:dyDescent="0.2">
      <c r="A12" t="s">
        <v>41</v>
      </c>
    </row>
    <row r="13" spans="1:2" x14ac:dyDescent="0.2">
      <c r="A13" t="s">
        <v>40</v>
      </c>
    </row>
    <row r="14" spans="1:2" x14ac:dyDescent="0.2">
      <c r="A14" t="s">
        <v>38</v>
      </c>
    </row>
    <row r="15" spans="1:2" x14ac:dyDescent="0.2">
      <c r="A15" t="s">
        <v>39</v>
      </c>
    </row>
    <row r="16" spans="1:2" x14ac:dyDescent="0.2">
      <c r="A16" s="24" t="s">
        <v>274</v>
      </c>
      <c r="B16" s="11" t="s">
        <v>313</v>
      </c>
    </row>
    <row r="17" spans="1:2" x14ac:dyDescent="0.2">
      <c r="A17" s="24" t="s">
        <v>282</v>
      </c>
      <c r="B17" t="s">
        <v>314</v>
      </c>
    </row>
    <row r="18" spans="1:2" x14ac:dyDescent="0.2">
      <c r="A18" s="24" t="s">
        <v>272</v>
      </c>
      <c r="B18" t="s">
        <v>315</v>
      </c>
    </row>
    <row r="19" spans="1:2" x14ac:dyDescent="0.2">
      <c r="A19" s="24" t="s">
        <v>262</v>
      </c>
      <c r="B19" t="s">
        <v>316</v>
      </c>
    </row>
    <row r="20" spans="1:2" x14ac:dyDescent="0.2">
      <c r="A20" s="24" t="s">
        <v>249</v>
      </c>
      <c r="B20" t="s">
        <v>317</v>
      </c>
    </row>
    <row r="21" spans="1:2" x14ac:dyDescent="0.2">
      <c r="A21" s="24" t="s">
        <v>319</v>
      </c>
      <c r="B21" t="s">
        <v>318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8FECF-C64C-FD42-9F6C-01E34682E528}">
  <dimension ref="A1:L46"/>
  <sheetViews>
    <sheetView zoomScale="97" zoomScaleNormal="100" workbookViewId="0">
      <pane xSplit="3" ySplit="2" topLeftCell="D3" activePane="bottomRight" state="frozen"/>
      <selection pane="topRight" activeCell="D1" sqref="D1"/>
      <selection pane="bottomLeft" activeCell="A3" sqref="A3"/>
      <selection pane="bottomRight" activeCell="D3" sqref="D3"/>
    </sheetView>
  </sheetViews>
  <sheetFormatPr baseColWidth="10" defaultRowHeight="16" x14ac:dyDescent="0.2"/>
  <cols>
    <col min="1" max="1" width="24.33203125" style="24" customWidth="1"/>
    <col min="2" max="2" width="41.6640625" style="24" bestFit="1" customWidth="1"/>
    <col min="3" max="3" width="13.5" style="24" bestFit="1" customWidth="1"/>
    <col min="4" max="4" width="12" style="24" bestFit="1" customWidth="1"/>
    <col min="5" max="6" width="15.5" style="24" bestFit="1" customWidth="1"/>
    <col min="7" max="7" width="22.6640625" style="24" bestFit="1" customWidth="1"/>
    <col min="8" max="8" width="16" style="24" bestFit="1" customWidth="1"/>
    <col min="9" max="9" width="18" style="24" bestFit="1" customWidth="1"/>
    <col min="10" max="10" width="98.5" style="24" bestFit="1" customWidth="1"/>
    <col min="11" max="11" width="163.5" style="24" bestFit="1" customWidth="1"/>
    <col min="12" max="16384" width="10.83203125" style="24"/>
  </cols>
  <sheetData>
    <row r="1" spans="1:12" x14ac:dyDescent="0.2">
      <c r="A1" s="19" t="s">
        <v>94</v>
      </c>
      <c r="B1" s="4" t="s">
        <v>93</v>
      </c>
      <c r="C1" s="5" t="s">
        <v>37</v>
      </c>
      <c r="D1" s="5" t="s">
        <v>36</v>
      </c>
      <c r="E1" s="5" t="s">
        <v>36</v>
      </c>
      <c r="F1" s="5" t="s">
        <v>36</v>
      </c>
      <c r="G1" s="5" t="s">
        <v>36</v>
      </c>
      <c r="H1" s="5" t="s">
        <v>35</v>
      </c>
      <c r="I1" s="5" t="s">
        <v>35</v>
      </c>
      <c r="J1" s="4" t="s">
        <v>34</v>
      </c>
      <c r="K1" s="4" t="s">
        <v>81</v>
      </c>
      <c r="L1" s="4" t="s">
        <v>33</v>
      </c>
    </row>
    <row r="2" spans="1:12" x14ac:dyDescent="0.2">
      <c r="A2" s="19" t="s">
        <v>9</v>
      </c>
      <c r="B2" s="24" t="s">
        <v>9</v>
      </c>
      <c r="C2" s="8" t="s">
        <v>32</v>
      </c>
      <c r="D2" s="8" t="s">
        <v>31</v>
      </c>
      <c r="E2" s="8" t="s">
        <v>88</v>
      </c>
      <c r="F2" s="8" t="s">
        <v>89</v>
      </c>
      <c r="G2" s="8" t="s">
        <v>90</v>
      </c>
      <c r="H2" s="8" t="s">
        <v>30</v>
      </c>
      <c r="I2" s="8" t="s">
        <v>29</v>
      </c>
      <c r="J2" s="8" t="s">
        <v>9</v>
      </c>
      <c r="K2" s="4" t="s">
        <v>9</v>
      </c>
      <c r="L2" s="4"/>
    </row>
    <row r="3" spans="1:12" x14ac:dyDescent="0.2">
      <c r="A3" s="1" t="s">
        <v>28</v>
      </c>
      <c r="B3" s="1" t="s">
        <v>27</v>
      </c>
      <c r="C3" s="6" t="s">
        <v>26</v>
      </c>
      <c r="D3" s="3">
        <f>D5*9+D6*4+D10*4</f>
        <v>414.2999999999999</v>
      </c>
      <c r="E3" s="3" t="s">
        <v>9</v>
      </c>
      <c r="F3" s="3" t="s">
        <v>9</v>
      </c>
      <c r="G3" s="3" t="s">
        <v>9</v>
      </c>
      <c r="H3" s="3">
        <f>H5*9+H6*4+H10*4</f>
        <v>402.28000000000003</v>
      </c>
      <c r="I3" s="25">
        <f>I5*9+I6*4+I10*4</f>
        <v>221.73673600000001</v>
      </c>
      <c r="J3" s="25" t="s">
        <v>9</v>
      </c>
      <c r="K3" s="7" t="s">
        <v>25</v>
      </c>
    </row>
    <row r="4" spans="1:12" x14ac:dyDescent="0.2">
      <c r="A4" s="1" t="s">
        <v>28</v>
      </c>
      <c r="B4" s="1" t="s">
        <v>24</v>
      </c>
      <c r="C4" s="6" t="s">
        <v>10</v>
      </c>
      <c r="D4" s="6">
        <v>0</v>
      </c>
      <c r="E4" s="3" t="s">
        <v>9</v>
      </c>
      <c r="F4" s="3" t="s">
        <v>9</v>
      </c>
      <c r="G4" s="3" t="s">
        <v>9</v>
      </c>
      <c r="H4" s="6">
        <v>0</v>
      </c>
      <c r="I4" s="26">
        <v>44.88</v>
      </c>
      <c r="J4" s="27" t="s">
        <v>59</v>
      </c>
      <c r="K4" s="14" t="s">
        <v>60</v>
      </c>
      <c r="L4" s="1"/>
    </row>
    <row r="5" spans="1:12" x14ac:dyDescent="0.2">
      <c r="A5" s="1" t="s">
        <v>28</v>
      </c>
      <c r="B5" s="1" t="s">
        <v>23</v>
      </c>
      <c r="C5" s="6" t="s">
        <v>10</v>
      </c>
      <c r="D5" s="2">
        <f>(6.1+6.5+5.62)/3</f>
        <v>6.0733333333333333</v>
      </c>
      <c r="E5" s="3" t="s">
        <v>9</v>
      </c>
      <c r="F5" s="3" t="s">
        <v>9</v>
      </c>
      <c r="G5" s="3" t="s">
        <v>9</v>
      </c>
      <c r="H5" s="2">
        <f>(2.6+4.3+2.84)/3</f>
        <v>3.2466666666666666</v>
      </c>
      <c r="I5" s="28">
        <f>(100-I$4)*H5/100</f>
        <v>1.7895626666666666</v>
      </c>
      <c r="J5" s="1" t="s">
        <v>71</v>
      </c>
      <c r="K5" s="1" t="s">
        <v>75</v>
      </c>
      <c r="L5" s="1"/>
    </row>
    <row r="6" spans="1:12" x14ac:dyDescent="0.2">
      <c r="A6" s="1" t="s">
        <v>28</v>
      </c>
      <c r="B6" s="1" t="s">
        <v>22</v>
      </c>
      <c r="C6" s="6" t="s">
        <v>10</v>
      </c>
      <c r="D6" s="3">
        <f>(69.8+64.6)/2</f>
        <v>67.199999999999989</v>
      </c>
      <c r="E6" s="3" t="s">
        <v>9</v>
      </c>
      <c r="F6" s="3" t="s">
        <v>9</v>
      </c>
      <c r="G6" s="3" t="s">
        <v>9</v>
      </c>
      <c r="H6" s="3">
        <f>(69.3+64.53)/2</f>
        <v>66.914999999999992</v>
      </c>
      <c r="I6" s="25">
        <f t="shared" ref="I6:I9" si="0">(100-I$4)*H6/100</f>
        <v>36.883547999999998</v>
      </c>
      <c r="J6" s="1" t="s">
        <v>72</v>
      </c>
      <c r="K6" s="1" t="s">
        <v>74</v>
      </c>
      <c r="L6" s="1"/>
    </row>
    <row r="7" spans="1:12" x14ac:dyDescent="0.2">
      <c r="A7" s="1" t="s">
        <v>28</v>
      </c>
      <c r="B7" s="1" t="s">
        <v>54</v>
      </c>
      <c r="C7" s="6" t="s">
        <v>10</v>
      </c>
      <c r="D7" s="2">
        <f>(3+1.85)/2</f>
        <v>2.4249999999999998</v>
      </c>
      <c r="E7" s="3" t="s">
        <v>9</v>
      </c>
      <c r="F7" s="3" t="s">
        <v>9</v>
      </c>
      <c r="G7" s="3" t="s">
        <v>9</v>
      </c>
      <c r="H7" s="2">
        <f>(4.8+1.68)/2</f>
        <v>3.2399999999999998</v>
      </c>
      <c r="I7" s="28">
        <f>(100-I$4)*H7/100</f>
        <v>1.7858879999999999</v>
      </c>
      <c r="J7" s="1" t="s">
        <v>73</v>
      </c>
      <c r="K7" s="1" t="s">
        <v>74</v>
      </c>
      <c r="L7" s="1"/>
    </row>
    <row r="8" spans="1:12" x14ac:dyDescent="0.2">
      <c r="A8" s="1" t="s">
        <v>28</v>
      </c>
      <c r="B8" s="1" t="s">
        <v>55</v>
      </c>
      <c r="C8" s="6" t="s">
        <v>10</v>
      </c>
      <c r="D8" s="3">
        <v>49.2</v>
      </c>
      <c r="E8" s="3" t="s">
        <v>9</v>
      </c>
      <c r="F8" s="3" t="s">
        <v>9</v>
      </c>
      <c r="G8" s="3" t="s">
        <v>9</v>
      </c>
      <c r="H8" s="3">
        <v>48.4</v>
      </c>
      <c r="I8" s="25">
        <f t="shared" si="0"/>
        <v>26.678080000000001</v>
      </c>
      <c r="J8" s="1" t="s">
        <v>51</v>
      </c>
      <c r="K8" s="1" t="s">
        <v>13</v>
      </c>
      <c r="L8" s="1"/>
    </row>
    <row r="9" spans="1:12" x14ac:dyDescent="0.2">
      <c r="A9" s="1" t="s">
        <v>28</v>
      </c>
      <c r="B9" s="7" t="s">
        <v>56</v>
      </c>
      <c r="C9" s="6" t="s">
        <v>10</v>
      </c>
      <c r="D9" s="6">
        <v>1.9</v>
      </c>
      <c r="E9" s="3" t="s">
        <v>9</v>
      </c>
      <c r="F9" s="3" t="s">
        <v>9</v>
      </c>
      <c r="G9" s="3" t="s">
        <v>9</v>
      </c>
      <c r="H9" s="2">
        <v>7.6</v>
      </c>
      <c r="I9" s="28">
        <f t="shared" si="0"/>
        <v>4.18912</v>
      </c>
      <c r="J9" s="1" t="s">
        <v>51</v>
      </c>
      <c r="K9" s="1" t="s">
        <v>13</v>
      </c>
      <c r="L9" s="1"/>
    </row>
    <row r="10" spans="1:12" x14ac:dyDescent="0.2">
      <c r="A10" s="1" t="s">
        <v>28</v>
      </c>
      <c r="B10" s="1" t="s">
        <v>21</v>
      </c>
      <c r="C10" s="6" t="s">
        <v>10</v>
      </c>
      <c r="D10" s="3">
        <f>(24.63+20.9+22.6)/3</f>
        <v>22.709999999999997</v>
      </c>
      <c r="E10" s="3" t="s">
        <v>9</v>
      </c>
      <c r="F10" s="3" t="s">
        <v>9</v>
      </c>
      <c r="G10" s="3" t="s">
        <v>9</v>
      </c>
      <c r="H10" s="3">
        <f>(28.85+26.1+24.1)/3</f>
        <v>26.350000000000005</v>
      </c>
      <c r="I10" s="25">
        <f>(100-I$4)*H10/100</f>
        <v>14.524120000000003</v>
      </c>
      <c r="J10" s="1" t="s">
        <v>52</v>
      </c>
      <c r="K10" s="1" t="s">
        <v>20</v>
      </c>
      <c r="L10" s="1"/>
    </row>
    <row r="11" spans="1:12" x14ac:dyDescent="0.2">
      <c r="A11" s="1" t="s">
        <v>19</v>
      </c>
      <c r="B11" s="1" t="s">
        <v>18</v>
      </c>
      <c r="C11" s="6" t="s">
        <v>10</v>
      </c>
      <c r="D11" s="2">
        <f>2.43*D$10/100</f>
        <v>0.55185299999999993</v>
      </c>
      <c r="E11" s="3" t="s">
        <v>9</v>
      </c>
      <c r="F11" s="3" t="s">
        <v>9</v>
      </c>
      <c r="G11" s="3" t="s">
        <v>9</v>
      </c>
      <c r="H11" s="2">
        <f>2.54*H$10/100</f>
        <v>0.66929000000000016</v>
      </c>
      <c r="I11" s="28">
        <f>(100-I$4)*H11/100</f>
        <v>0.36891264800000007</v>
      </c>
      <c r="J11" s="1" t="s">
        <v>51</v>
      </c>
      <c r="K11" s="1" t="s">
        <v>13</v>
      </c>
      <c r="L11" s="1" t="s">
        <v>11</v>
      </c>
    </row>
    <row r="12" spans="1:12" x14ac:dyDescent="0.2">
      <c r="A12" s="1" t="s">
        <v>19</v>
      </c>
      <c r="B12" s="1" t="s">
        <v>17</v>
      </c>
      <c r="C12" s="6" t="s">
        <v>10</v>
      </c>
      <c r="D12" s="2">
        <f>((3.19+4.76)/2)*D$10/100</f>
        <v>0.90272249999999987</v>
      </c>
      <c r="E12" s="3" t="s">
        <v>9</v>
      </c>
      <c r="F12" s="3" t="s">
        <v>9</v>
      </c>
      <c r="G12" s="3" t="s">
        <v>9</v>
      </c>
      <c r="H12" s="2">
        <f>(5.18+3.56)/2*H$10/100</f>
        <v>1.1514950000000002</v>
      </c>
      <c r="I12" s="28">
        <f t="shared" ref="I12:I21" si="1">(100-I$4)*H12/100</f>
        <v>0.63470404400000002</v>
      </c>
      <c r="J12" s="1" t="s">
        <v>53</v>
      </c>
      <c r="K12" s="1" t="s">
        <v>80</v>
      </c>
      <c r="L12" s="1" t="s">
        <v>11</v>
      </c>
    </row>
    <row r="13" spans="1:12" x14ac:dyDescent="0.2">
      <c r="A13" s="1" t="s">
        <v>19</v>
      </c>
      <c r="B13" s="1" t="s">
        <v>16</v>
      </c>
      <c r="C13" s="6" t="s">
        <v>10</v>
      </c>
      <c r="D13" s="2">
        <f>((7.14+7.59)/2)*D$10/100</f>
        <v>1.6725914999999998</v>
      </c>
      <c r="E13" s="3" t="s">
        <v>9</v>
      </c>
      <c r="F13" s="3" t="s">
        <v>9</v>
      </c>
      <c r="G13" s="3" t="s">
        <v>9</v>
      </c>
      <c r="H13" s="2">
        <f>(7.74+7.22)/2*H$10/100</f>
        <v>1.9709800000000004</v>
      </c>
      <c r="I13" s="28">
        <f t="shared" si="1"/>
        <v>1.0864041760000003</v>
      </c>
      <c r="J13" s="1" t="s">
        <v>53</v>
      </c>
      <c r="K13" s="1" t="s">
        <v>80</v>
      </c>
      <c r="L13" s="1" t="s">
        <v>11</v>
      </c>
    </row>
    <row r="14" spans="1:12" x14ac:dyDescent="0.2">
      <c r="A14" s="1" t="s">
        <v>19</v>
      </c>
      <c r="B14" s="1" t="s">
        <v>15</v>
      </c>
      <c r="C14" s="6" t="s">
        <v>10</v>
      </c>
      <c r="D14" s="2">
        <f>((6.39+6)/2)*D$10/100</f>
        <v>1.4068844999999999</v>
      </c>
      <c r="E14" s="3" t="s">
        <v>9</v>
      </c>
      <c r="F14" s="3" t="s">
        <v>9</v>
      </c>
      <c r="G14" s="3" t="s">
        <v>9</v>
      </c>
      <c r="H14" s="2">
        <f>(5.63+6.09)/2*H$10/100</f>
        <v>1.5441100000000001</v>
      </c>
      <c r="I14" s="28">
        <f t="shared" si="1"/>
        <v>0.85111343200000011</v>
      </c>
      <c r="J14" s="1" t="s">
        <v>53</v>
      </c>
      <c r="K14" s="1" t="s">
        <v>80</v>
      </c>
      <c r="L14" s="1" t="s">
        <v>11</v>
      </c>
    </row>
    <row r="15" spans="1:12" x14ac:dyDescent="0.2">
      <c r="A15" s="1" t="s">
        <v>19</v>
      </c>
      <c r="B15" s="1" t="s">
        <v>100</v>
      </c>
      <c r="C15" s="6" t="s">
        <v>10</v>
      </c>
      <c r="D15" s="2">
        <f>((3.46+3.89)/2)*D$10/100</f>
        <v>0.83459249999999985</v>
      </c>
      <c r="E15" s="3" t="s">
        <v>9</v>
      </c>
      <c r="F15" s="3" t="s">
        <v>9</v>
      </c>
      <c r="G15" s="3" t="s">
        <v>9</v>
      </c>
      <c r="H15" s="2">
        <f>(4.24+3.85)/2*H$10/100</f>
        <v>1.0658575000000001</v>
      </c>
      <c r="I15" s="28">
        <f t="shared" si="1"/>
        <v>0.58750065400000007</v>
      </c>
      <c r="J15" s="1" t="s">
        <v>53</v>
      </c>
      <c r="K15" s="1" t="s">
        <v>80</v>
      </c>
      <c r="L15" s="1" t="s">
        <v>11</v>
      </c>
    </row>
    <row r="16" spans="1:12" x14ac:dyDescent="0.2">
      <c r="A16" s="1" t="s">
        <v>19</v>
      </c>
      <c r="B16" s="1" t="s">
        <v>14</v>
      </c>
      <c r="C16" s="6" t="s">
        <v>10</v>
      </c>
      <c r="D16" s="2">
        <f>1.1*D$10/100</f>
        <v>0.24980999999999998</v>
      </c>
      <c r="E16" s="3" t="s">
        <v>9</v>
      </c>
      <c r="F16" s="3" t="s">
        <v>9</v>
      </c>
      <c r="G16" s="3" t="s">
        <v>9</v>
      </c>
      <c r="H16" s="2">
        <f>1.06*H$10/100</f>
        <v>0.27931000000000006</v>
      </c>
      <c r="I16" s="28">
        <f t="shared" si="1"/>
        <v>0.15395567200000002</v>
      </c>
      <c r="J16" s="1" t="s">
        <v>51</v>
      </c>
      <c r="K16" s="1" t="s">
        <v>13</v>
      </c>
      <c r="L16" s="1" t="s">
        <v>11</v>
      </c>
    </row>
    <row r="17" spans="1:12" x14ac:dyDescent="0.2">
      <c r="A17" s="1" t="s">
        <v>19</v>
      </c>
      <c r="B17" s="1" t="s">
        <v>12</v>
      </c>
      <c r="C17" s="6" t="s">
        <v>10</v>
      </c>
      <c r="D17" s="2">
        <f>((3.54+5.6)/2)*D$10/100</f>
        <v>1.037847</v>
      </c>
      <c r="E17" s="3" t="s">
        <v>9</v>
      </c>
      <c r="F17" s="3" t="s">
        <v>9</v>
      </c>
      <c r="G17" s="3" t="s">
        <v>9</v>
      </c>
      <c r="H17" s="2">
        <f>(5.79+3.76)/2*H$10/100</f>
        <v>1.2582125000000004</v>
      </c>
      <c r="I17" s="28">
        <f t="shared" si="1"/>
        <v>0.6935267300000002</v>
      </c>
      <c r="J17" s="1" t="s">
        <v>53</v>
      </c>
      <c r="K17" s="1" t="s">
        <v>80</v>
      </c>
      <c r="L17" s="1" t="s">
        <v>11</v>
      </c>
    </row>
    <row r="18" spans="1:12" x14ac:dyDescent="0.2">
      <c r="A18" s="1" t="s">
        <v>19</v>
      </c>
      <c r="B18" s="1" t="s">
        <v>76</v>
      </c>
      <c r="C18" s="6" t="s">
        <v>10</v>
      </c>
      <c r="D18" s="2">
        <f>1.54*D$10/100</f>
        <v>0.34973399999999999</v>
      </c>
      <c r="E18" s="3" t="s">
        <v>9</v>
      </c>
      <c r="F18" s="3" t="s">
        <v>9</v>
      </c>
      <c r="G18" s="3" t="s">
        <v>9</v>
      </c>
      <c r="H18" s="2">
        <f>1.62*H$10/100</f>
        <v>0.42687000000000014</v>
      </c>
      <c r="I18" s="28">
        <f>(100-I$4)*H18/100</f>
        <v>0.23529074400000005</v>
      </c>
      <c r="J18" s="1" t="s">
        <v>58</v>
      </c>
      <c r="K18" s="1" t="s">
        <v>0</v>
      </c>
      <c r="L18" s="4"/>
    </row>
    <row r="19" spans="1:12" x14ac:dyDescent="0.2">
      <c r="A19" s="1" t="s">
        <v>19</v>
      </c>
      <c r="B19" s="1" t="s">
        <v>77</v>
      </c>
      <c r="C19" s="6" t="s">
        <v>10</v>
      </c>
      <c r="D19" s="2">
        <f>1.36*D$10/100</f>
        <v>0.30885600000000002</v>
      </c>
      <c r="E19" s="3" t="s">
        <v>9</v>
      </c>
      <c r="F19" s="3" t="s">
        <v>9</v>
      </c>
      <c r="G19" s="3" t="s">
        <v>9</v>
      </c>
      <c r="H19" s="2">
        <f>1.55*H$10/100</f>
        <v>0.40842500000000009</v>
      </c>
      <c r="I19" s="28">
        <f t="shared" si="1"/>
        <v>0.22512386000000004</v>
      </c>
      <c r="J19" s="1" t="s">
        <v>58</v>
      </c>
      <c r="K19" s="1" t="s">
        <v>0</v>
      </c>
      <c r="L19" s="1"/>
    </row>
    <row r="20" spans="1:12" x14ac:dyDescent="0.2">
      <c r="A20" s="1" t="s">
        <v>19</v>
      </c>
      <c r="B20" s="1" t="s">
        <v>78</v>
      </c>
      <c r="C20" s="6" t="s">
        <v>10</v>
      </c>
      <c r="D20" s="2">
        <f>5.57*D$10/100</f>
        <v>1.264947</v>
      </c>
      <c r="E20" s="3" t="s">
        <v>9</v>
      </c>
      <c r="F20" s="3" t="s">
        <v>9</v>
      </c>
      <c r="G20" s="3" t="s">
        <v>9</v>
      </c>
      <c r="H20" s="28">
        <f>6.2*H$10/100</f>
        <v>1.6337000000000004</v>
      </c>
      <c r="I20" s="28">
        <f t="shared" si="1"/>
        <v>0.90049544000000015</v>
      </c>
      <c r="J20" s="1" t="s">
        <v>58</v>
      </c>
      <c r="K20" s="1" t="s">
        <v>0</v>
      </c>
      <c r="L20" s="1"/>
    </row>
    <row r="21" spans="1:12" x14ac:dyDescent="0.2">
      <c r="A21" s="1" t="s">
        <v>19</v>
      </c>
      <c r="B21" s="1" t="s">
        <v>79</v>
      </c>
      <c r="C21" s="6" t="s">
        <v>10</v>
      </c>
      <c r="D21" s="2">
        <f>3.58*D$10/100</f>
        <v>0.81301799999999991</v>
      </c>
      <c r="E21" s="3" t="s">
        <v>9</v>
      </c>
      <c r="F21" s="3" t="s">
        <v>9</v>
      </c>
      <c r="G21" s="3" t="s">
        <v>9</v>
      </c>
      <c r="H21" s="28">
        <f>4.15*H$10/100</f>
        <v>1.0935250000000003</v>
      </c>
      <c r="I21" s="28">
        <f t="shared" si="1"/>
        <v>0.60275098000000016</v>
      </c>
      <c r="J21" s="1" t="s">
        <v>58</v>
      </c>
      <c r="K21" s="1" t="s">
        <v>0</v>
      </c>
      <c r="L21" s="1"/>
    </row>
    <row r="22" spans="1:12" x14ac:dyDescent="0.2">
      <c r="A22" s="1" t="s">
        <v>8</v>
      </c>
      <c r="B22" s="1" t="s">
        <v>7</v>
      </c>
      <c r="C22" s="2" t="s">
        <v>1</v>
      </c>
      <c r="D22" s="3">
        <v>771.77</v>
      </c>
      <c r="E22" s="3" t="s">
        <v>9</v>
      </c>
      <c r="F22" s="3" t="s">
        <v>9</v>
      </c>
      <c r="G22" s="3" t="s">
        <v>9</v>
      </c>
      <c r="H22" s="3">
        <v>199.4</v>
      </c>
      <c r="I22" s="25">
        <f t="shared" ref="I22:I28" si="2">(100-I$4)*H22/100</f>
        <v>109.90928</v>
      </c>
      <c r="J22" s="1" t="s">
        <v>58</v>
      </c>
      <c r="K22" s="1" t="s">
        <v>0</v>
      </c>
    </row>
    <row r="23" spans="1:12" x14ac:dyDescent="0.2">
      <c r="A23" s="1" t="s">
        <v>8</v>
      </c>
      <c r="B23" s="1" t="s">
        <v>6</v>
      </c>
      <c r="C23" s="2" t="s">
        <v>1</v>
      </c>
      <c r="D23" s="3">
        <v>152.58000000000001</v>
      </c>
      <c r="E23" s="3" t="s">
        <v>9</v>
      </c>
      <c r="F23" s="3" t="s">
        <v>9</v>
      </c>
      <c r="G23" s="3" t="s">
        <v>9</v>
      </c>
      <c r="H23" s="3">
        <v>102.1</v>
      </c>
      <c r="I23" s="25">
        <f t="shared" si="2"/>
        <v>56.277519999999996</v>
      </c>
      <c r="J23" s="1" t="s">
        <v>58</v>
      </c>
      <c r="K23" s="1" t="s">
        <v>0</v>
      </c>
    </row>
    <row r="24" spans="1:12" x14ac:dyDescent="0.2">
      <c r="A24" s="1" t="s">
        <v>8</v>
      </c>
      <c r="B24" s="1" t="s">
        <v>57</v>
      </c>
      <c r="C24" s="2" t="s">
        <v>1</v>
      </c>
      <c r="D24" s="3">
        <v>156.13</v>
      </c>
      <c r="E24" s="3" t="s">
        <v>9</v>
      </c>
      <c r="F24" s="3" t="s">
        <v>9</v>
      </c>
      <c r="G24" s="3" t="s">
        <v>9</v>
      </c>
      <c r="H24" s="3">
        <v>76.52</v>
      </c>
      <c r="I24" s="25">
        <f>(100-I$4)*H24/100</f>
        <v>42.177823999999994</v>
      </c>
      <c r="J24" s="1" t="s">
        <v>58</v>
      </c>
      <c r="K24" s="1" t="s">
        <v>0</v>
      </c>
    </row>
    <row r="25" spans="1:12" x14ac:dyDescent="0.2">
      <c r="A25" s="1" t="s">
        <v>8</v>
      </c>
      <c r="B25" s="1" t="s">
        <v>5</v>
      </c>
      <c r="C25" s="2" t="s">
        <v>1</v>
      </c>
      <c r="D25" s="3">
        <v>107.34</v>
      </c>
      <c r="E25" s="3" t="s">
        <v>9</v>
      </c>
      <c r="F25" s="3" t="s">
        <v>9</v>
      </c>
      <c r="G25" s="3" t="s">
        <v>9</v>
      </c>
      <c r="H25" s="3">
        <v>69.849999999999994</v>
      </c>
      <c r="I25" s="25">
        <f t="shared" si="2"/>
        <v>38.501319999999993</v>
      </c>
      <c r="J25" s="1" t="s">
        <v>58</v>
      </c>
      <c r="K25" s="1" t="s">
        <v>0</v>
      </c>
    </row>
    <row r="26" spans="1:12" x14ac:dyDescent="0.2">
      <c r="A26" s="1" t="s">
        <v>8</v>
      </c>
      <c r="B26" s="1" t="s">
        <v>4</v>
      </c>
      <c r="C26" s="2" t="s">
        <v>1</v>
      </c>
      <c r="D26" s="2">
        <v>6.85</v>
      </c>
      <c r="E26" s="3" t="s">
        <v>9</v>
      </c>
      <c r="F26" s="3" t="s">
        <v>9</v>
      </c>
      <c r="G26" s="3" t="s">
        <v>9</v>
      </c>
      <c r="H26" s="2">
        <v>4.13</v>
      </c>
      <c r="I26" s="28">
        <f>(100-I$4)*H26/100</f>
        <v>2.2764559999999996</v>
      </c>
      <c r="J26" s="1" t="s">
        <v>58</v>
      </c>
      <c r="K26" s="1" t="s">
        <v>0</v>
      </c>
    </row>
    <row r="27" spans="1:12" x14ac:dyDescent="0.2">
      <c r="A27" s="1" t="s">
        <v>8</v>
      </c>
      <c r="B27" s="1" t="s">
        <v>3</v>
      </c>
      <c r="C27" s="2" t="s">
        <v>1</v>
      </c>
      <c r="D27" s="2">
        <v>3.83</v>
      </c>
      <c r="E27" s="3" t="s">
        <v>9</v>
      </c>
      <c r="F27" s="3" t="s">
        <v>9</v>
      </c>
      <c r="G27" s="3" t="s">
        <v>9</v>
      </c>
      <c r="H27" s="2">
        <v>2.09</v>
      </c>
      <c r="I27" s="28">
        <f t="shared" si="2"/>
        <v>1.1520079999999999</v>
      </c>
      <c r="J27" s="1" t="s">
        <v>58</v>
      </c>
      <c r="K27" s="1" t="s">
        <v>0</v>
      </c>
    </row>
    <row r="28" spans="1:12" x14ac:dyDescent="0.2">
      <c r="A28" s="1" t="s">
        <v>8</v>
      </c>
      <c r="B28" s="1" t="s">
        <v>2</v>
      </c>
      <c r="C28" s="2" t="s">
        <v>1</v>
      </c>
      <c r="D28" s="2">
        <v>0.98</v>
      </c>
      <c r="E28" s="3" t="s">
        <v>9</v>
      </c>
      <c r="F28" s="3" t="s">
        <v>9</v>
      </c>
      <c r="G28" s="3" t="s">
        <v>9</v>
      </c>
      <c r="H28" s="2">
        <v>0.47</v>
      </c>
      <c r="I28" s="28">
        <f t="shared" si="2"/>
        <v>0.25906399999999996</v>
      </c>
      <c r="J28" s="1" t="s">
        <v>58</v>
      </c>
      <c r="K28" s="1" t="s">
        <v>0</v>
      </c>
    </row>
    <row r="29" spans="1:12" x14ac:dyDescent="0.2">
      <c r="A29" s="1" t="s">
        <v>61</v>
      </c>
      <c r="B29" s="24" t="s">
        <v>62</v>
      </c>
      <c r="C29" s="2" t="s">
        <v>63</v>
      </c>
      <c r="D29" s="25">
        <f>(72.2+66.19)/2</f>
        <v>69.194999999999993</v>
      </c>
      <c r="E29" s="3" t="s">
        <v>9</v>
      </c>
      <c r="F29" s="3" t="s">
        <v>9</v>
      </c>
      <c r="G29" s="3" t="s">
        <v>9</v>
      </c>
      <c r="H29" s="3">
        <f>(83.2+82.54+80.55)/3</f>
        <v>82.096666666666678</v>
      </c>
      <c r="I29" s="12" t="s">
        <v>9</v>
      </c>
      <c r="J29" s="1" t="s">
        <v>68</v>
      </c>
      <c r="K29" s="1" t="s">
        <v>69</v>
      </c>
      <c r="L29" s="24" t="s">
        <v>70</v>
      </c>
    </row>
    <row r="30" spans="1:12" x14ac:dyDescent="0.2">
      <c r="A30" s="1" t="s">
        <v>61</v>
      </c>
      <c r="B30" s="1" t="s">
        <v>64</v>
      </c>
      <c r="C30" s="2" t="s">
        <v>63</v>
      </c>
      <c r="D30" s="3">
        <v>81.099999999999994</v>
      </c>
      <c r="E30" s="3" t="s">
        <v>9</v>
      </c>
      <c r="F30" s="3" t="s">
        <v>9</v>
      </c>
      <c r="G30" s="3" t="s">
        <v>9</v>
      </c>
      <c r="H30" s="17">
        <v>86.2</v>
      </c>
      <c r="I30" s="12" t="s">
        <v>9</v>
      </c>
      <c r="J30" s="1" t="s">
        <v>51</v>
      </c>
      <c r="K30" s="1" t="s">
        <v>13</v>
      </c>
    </row>
    <row r="31" spans="1:12" x14ac:dyDescent="0.2">
      <c r="A31" s="1" t="s">
        <v>61</v>
      </c>
      <c r="B31" s="1" t="s">
        <v>65</v>
      </c>
      <c r="C31" s="2" t="s">
        <v>63</v>
      </c>
      <c r="D31" s="3">
        <v>83.7</v>
      </c>
      <c r="E31" s="3" t="s">
        <v>9</v>
      </c>
      <c r="F31" s="3" t="s">
        <v>9</v>
      </c>
      <c r="G31" s="3" t="s">
        <v>9</v>
      </c>
      <c r="H31" s="17">
        <v>88.8</v>
      </c>
      <c r="I31" s="12" t="s">
        <v>9</v>
      </c>
      <c r="J31" s="1" t="s">
        <v>51</v>
      </c>
      <c r="K31" s="1" t="s">
        <v>13</v>
      </c>
    </row>
    <row r="32" spans="1:12" x14ac:dyDescent="0.2">
      <c r="A32" s="1" t="s">
        <v>61</v>
      </c>
      <c r="B32" s="24" t="s">
        <v>66</v>
      </c>
      <c r="C32" s="2" t="s">
        <v>9</v>
      </c>
      <c r="D32" s="15">
        <v>0.73</v>
      </c>
      <c r="E32" s="3" t="s">
        <v>9</v>
      </c>
      <c r="F32" s="3" t="s">
        <v>9</v>
      </c>
      <c r="G32" s="3" t="s">
        <v>9</v>
      </c>
      <c r="H32" s="16">
        <v>0.92</v>
      </c>
      <c r="I32" s="12" t="s">
        <v>9</v>
      </c>
      <c r="J32" s="1" t="s">
        <v>51</v>
      </c>
      <c r="K32" s="1" t="s">
        <v>13</v>
      </c>
    </row>
    <row r="33" spans="1:12" x14ac:dyDescent="0.2">
      <c r="A33" s="1" t="s">
        <v>95</v>
      </c>
      <c r="B33" s="1" t="s">
        <v>82</v>
      </c>
      <c r="C33" s="2" t="s">
        <v>10</v>
      </c>
      <c r="D33" s="16">
        <f>0.798</f>
        <v>0.79800000000000004</v>
      </c>
      <c r="E33" s="18">
        <v>0.76900000000000002</v>
      </c>
      <c r="F33" s="18">
        <v>0.54200000000000004</v>
      </c>
      <c r="G33" s="18">
        <v>0.47</v>
      </c>
      <c r="H33" s="18">
        <f>(0.23+0.11+0.2)/3</f>
        <v>0.18000000000000002</v>
      </c>
      <c r="I33" s="28">
        <f>(100-I$4)*H33/100</f>
        <v>9.9216000000000013E-2</v>
      </c>
      <c r="J33" s="1" t="s">
        <v>101</v>
      </c>
      <c r="K33" s="1" t="s">
        <v>96</v>
      </c>
    </row>
    <row r="34" spans="1:12" x14ac:dyDescent="0.2">
      <c r="A34" s="1" t="s">
        <v>95</v>
      </c>
      <c r="B34" s="1" t="s">
        <v>83</v>
      </c>
      <c r="C34" s="2" t="s">
        <v>87</v>
      </c>
      <c r="D34" s="28">
        <f>(0.463+2.195)/2</f>
        <v>1.329</v>
      </c>
      <c r="E34" s="28">
        <v>0.38500000000000001</v>
      </c>
      <c r="F34" s="28">
        <v>0.27</v>
      </c>
      <c r="G34" s="28">
        <v>0.23100000000000001</v>
      </c>
      <c r="H34" s="18">
        <f>(0.124+0.265)/2</f>
        <v>0.19450000000000001</v>
      </c>
      <c r="I34" s="28">
        <f t="shared" ref="I34:I36" si="3">(100-I$4)*H34/100</f>
        <v>0.1072084</v>
      </c>
      <c r="J34" s="1" t="s">
        <v>67</v>
      </c>
      <c r="K34" s="1" t="s">
        <v>91</v>
      </c>
      <c r="L34" s="29" t="s">
        <v>310</v>
      </c>
    </row>
    <row r="35" spans="1:12" x14ac:dyDescent="0.2">
      <c r="A35" s="1" t="s">
        <v>95</v>
      </c>
      <c r="B35" s="1" t="s">
        <v>84</v>
      </c>
      <c r="C35" s="12" t="s">
        <v>86</v>
      </c>
      <c r="D35" s="17">
        <f>10.96*100</f>
        <v>1096</v>
      </c>
      <c r="E35" s="17">
        <f>8.65*100</f>
        <v>865</v>
      </c>
      <c r="F35" s="17">
        <f>2.8*100</f>
        <v>280</v>
      </c>
      <c r="G35" s="17">
        <f>2.31*100</f>
        <v>231</v>
      </c>
      <c r="H35" s="17">
        <f>1.12*100</f>
        <v>112.00000000000001</v>
      </c>
      <c r="I35" s="25">
        <f t="shared" si="3"/>
        <v>61.734400000000008</v>
      </c>
      <c r="J35" s="1" t="s">
        <v>58</v>
      </c>
      <c r="K35" s="1" t="s">
        <v>0</v>
      </c>
      <c r="L35" s="29" t="s">
        <v>311</v>
      </c>
    </row>
    <row r="36" spans="1:12" x14ac:dyDescent="0.2">
      <c r="A36" s="1" t="s">
        <v>95</v>
      </c>
      <c r="B36" s="1" t="s">
        <v>85</v>
      </c>
      <c r="C36" s="12" t="s">
        <v>10</v>
      </c>
      <c r="D36" s="18">
        <v>0.26938000000000001</v>
      </c>
      <c r="E36" s="18">
        <v>0.21764</v>
      </c>
      <c r="F36" s="18">
        <v>0.19472999999999999</v>
      </c>
      <c r="G36" s="18">
        <v>0.17150000000000001</v>
      </c>
      <c r="H36" s="18">
        <v>8.6639999999999995E-2</v>
      </c>
      <c r="I36" s="30">
        <f t="shared" si="3"/>
        <v>4.7755967999999996E-2</v>
      </c>
      <c r="J36" s="1" t="s">
        <v>58</v>
      </c>
      <c r="K36" s="1" t="s">
        <v>0</v>
      </c>
      <c r="L36" s="29" t="s">
        <v>312</v>
      </c>
    </row>
    <row r="37" spans="1:12" x14ac:dyDescent="0.2">
      <c r="A37" s="1" t="s">
        <v>97</v>
      </c>
      <c r="B37" s="1" t="s">
        <v>82</v>
      </c>
      <c r="C37" s="12" t="s">
        <v>92</v>
      </c>
      <c r="D37" s="17">
        <f>D33/$D33*100</f>
        <v>100</v>
      </c>
      <c r="E37" s="17">
        <f t="shared" ref="E37:F37" si="4">E33/$D33*100</f>
        <v>96.365914786967409</v>
      </c>
      <c r="F37" s="17">
        <f t="shared" si="4"/>
        <v>67.919799498746869</v>
      </c>
      <c r="G37" s="17" t="s">
        <v>9</v>
      </c>
      <c r="H37" s="21">
        <f>F37-(G41-H41)</f>
        <v>31.578947368421069</v>
      </c>
      <c r="I37" s="31" t="s">
        <v>9</v>
      </c>
      <c r="J37" s="1" t="s">
        <v>9</v>
      </c>
      <c r="K37" s="1" t="s">
        <v>9</v>
      </c>
      <c r="L37" s="32" t="s">
        <v>99</v>
      </c>
    </row>
    <row r="38" spans="1:12" x14ac:dyDescent="0.2">
      <c r="A38" s="1" t="s">
        <v>97</v>
      </c>
      <c r="B38" s="1" t="s">
        <v>83</v>
      </c>
      <c r="C38" s="12" t="s">
        <v>92</v>
      </c>
      <c r="D38" s="17">
        <f t="shared" ref="D38:F40" si="5">D34/$D34*100</f>
        <v>100</v>
      </c>
      <c r="E38" s="17">
        <f t="shared" si="5"/>
        <v>28.969149736644095</v>
      </c>
      <c r="F38" s="17">
        <f t="shared" si="5"/>
        <v>20.316027088036119</v>
      </c>
      <c r="G38" s="17" t="s">
        <v>9</v>
      </c>
      <c r="H38" s="21">
        <f>F38-(G42-H42)</f>
        <v>17.569601203912718</v>
      </c>
      <c r="I38" s="31" t="s">
        <v>9</v>
      </c>
      <c r="J38" s="1" t="s">
        <v>9</v>
      </c>
      <c r="K38" s="1" t="s">
        <v>9</v>
      </c>
      <c r="L38" s="32" t="s">
        <v>99</v>
      </c>
    </row>
    <row r="39" spans="1:12" x14ac:dyDescent="0.2">
      <c r="A39" s="1" t="s">
        <v>97</v>
      </c>
      <c r="B39" s="1" t="s">
        <v>84</v>
      </c>
      <c r="C39" s="12" t="s">
        <v>92</v>
      </c>
      <c r="D39" s="17">
        <f t="shared" si="5"/>
        <v>100</v>
      </c>
      <c r="E39" s="17">
        <f t="shared" si="5"/>
        <v>78.923357664233578</v>
      </c>
      <c r="F39" s="17">
        <f t="shared" si="5"/>
        <v>25.547445255474454</v>
      </c>
      <c r="G39" s="17" t="s">
        <v>9</v>
      </c>
      <c r="H39" s="21">
        <f>F39-(G43-H43)</f>
        <v>14.689781021897813</v>
      </c>
      <c r="I39" s="31" t="s">
        <v>9</v>
      </c>
      <c r="J39" s="1" t="s">
        <v>9</v>
      </c>
      <c r="K39" s="1" t="s">
        <v>9</v>
      </c>
      <c r="L39" s="32" t="s">
        <v>99</v>
      </c>
    </row>
    <row r="40" spans="1:12" x14ac:dyDescent="0.2">
      <c r="A40" s="1" t="s">
        <v>97</v>
      </c>
      <c r="B40" s="1" t="s">
        <v>85</v>
      </c>
      <c r="C40" s="12" t="s">
        <v>92</v>
      </c>
      <c r="D40" s="17">
        <f t="shared" si="5"/>
        <v>100</v>
      </c>
      <c r="E40" s="17">
        <f t="shared" si="5"/>
        <v>80.792931917737022</v>
      </c>
      <c r="F40" s="17">
        <f t="shared" si="5"/>
        <v>72.288217388076319</v>
      </c>
      <c r="G40" s="17" t="s">
        <v>9</v>
      </c>
      <c r="H40" s="21">
        <f>F40-(G44-H44)</f>
        <v>40.786249907194282</v>
      </c>
      <c r="I40" s="31" t="s">
        <v>9</v>
      </c>
      <c r="J40" s="1" t="s">
        <v>9</v>
      </c>
      <c r="K40" s="1" t="s">
        <v>9</v>
      </c>
      <c r="L40" s="32" t="s">
        <v>99</v>
      </c>
    </row>
    <row r="41" spans="1:12" x14ac:dyDescent="0.2">
      <c r="A41" s="1" t="s">
        <v>98</v>
      </c>
      <c r="B41" s="1" t="s">
        <v>82</v>
      </c>
      <c r="C41" s="12" t="s">
        <v>92</v>
      </c>
      <c r="D41" s="17">
        <f>D33/$D33*100</f>
        <v>100</v>
      </c>
      <c r="E41" s="17">
        <f t="shared" ref="E41:H41" si="6">E33/$D33*100</f>
        <v>96.365914786967409</v>
      </c>
      <c r="F41" s="17" t="s">
        <v>9</v>
      </c>
      <c r="G41" s="17">
        <f t="shared" si="6"/>
        <v>58.897243107769413</v>
      </c>
      <c r="H41" s="17">
        <f t="shared" si="6"/>
        <v>22.556390977443609</v>
      </c>
      <c r="I41" s="31" t="s">
        <v>9</v>
      </c>
      <c r="J41" s="1" t="s">
        <v>9</v>
      </c>
      <c r="K41" s="1" t="s">
        <v>9</v>
      </c>
    </row>
    <row r="42" spans="1:12" x14ac:dyDescent="0.2">
      <c r="A42" s="1" t="s">
        <v>98</v>
      </c>
      <c r="B42" s="1" t="s">
        <v>83</v>
      </c>
      <c r="C42" s="12" t="s">
        <v>92</v>
      </c>
      <c r="D42" s="17">
        <f t="shared" ref="D42:H44" si="7">D34/$D34*100</f>
        <v>100</v>
      </c>
      <c r="E42" s="17">
        <f t="shared" si="7"/>
        <v>28.969149736644095</v>
      </c>
      <c r="F42" s="17" t="s">
        <v>9</v>
      </c>
      <c r="G42" s="17">
        <f t="shared" si="7"/>
        <v>17.381489841986458</v>
      </c>
      <c r="H42" s="17">
        <f t="shared" si="7"/>
        <v>14.635063957863057</v>
      </c>
      <c r="I42" s="31" t="s">
        <v>9</v>
      </c>
      <c r="J42" s="1" t="s">
        <v>9</v>
      </c>
      <c r="K42" s="1" t="s">
        <v>9</v>
      </c>
    </row>
    <row r="43" spans="1:12" x14ac:dyDescent="0.2">
      <c r="A43" s="1" t="s">
        <v>98</v>
      </c>
      <c r="B43" s="1" t="s">
        <v>84</v>
      </c>
      <c r="C43" s="12" t="s">
        <v>92</v>
      </c>
      <c r="D43" s="17">
        <f t="shared" si="7"/>
        <v>100</v>
      </c>
      <c r="E43" s="17">
        <f t="shared" si="7"/>
        <v>78.923357664233578</v>
      </c>
      <c r="F43" s="17" t="s">
        <v>9</v>
      </c>
      <c r="G43" s="17">
        <f t="shared" si="7"/>
        <v>21.076642335766422</v>
      </c>
      <c r="H43" s="17">
        <f t="shared" si="7"/>
        <v>10.218978102189782</v>
      </c>
      <c r="I43" s="31" t="s">
        <v>9</v>
      </c>
      <c r="J43" s="1" t="s">
        <v>9</v>
      </c>
      <c r="K43" s="1" t="s">
        <v>9</v>
      </c>
    </row>
    <row r="44" spans="1:12" x14ac:dyDescent="0.2">
      <c r="A44" s="1" t="s">
        <v>98</v>
      </c>
      <c r="B44" s="1" t="s">
        <v>85</v>
      </c>
      <c r="C44" s="12" t="s">
        <v>92</v>
      </c>
      <c r="D44" s="17">
        <f t="shared" si="7"/>
        <v>100</v>
      </c>
      <c r="E44" s="17">
        <f t="shared" si="7"/>
        <v>80.792931917737022</v>
      </c>
      <c r="F44" s="17" t="s">
        <v>9</v>
      </c>
      <c r="G44" s="17">
        <f t="shared" si="7"/>
        <v>63.664711559878242</v>
      </c>
      <c r="H44" s="17">
        <f t="shared" si="7"/>
        <v>32.162744078996205</v>
      </c>
      <c r="I44" s="31" t="s">
        <v>9</v>
      </c>
      <c r="J44" s="1" t="s">
        <v>9</v>
      </c>
      <c r="K44" s="1" t="s">
        <v>9</v>
      </c>
    </row>
    <row r="45" spans="1:12" x14ac:dyDescent="0.2">
      <c r="D45" s="13"/>
    </row>
    <row r="46" spans="1:12" x14ac:dyDescent="0.2">
      <c r="D46" s="13"/>
      <c r="H46"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6F13-CD84-934A-81F2-82042651662F}">
  <dimension ref="A1:AD34"/>
  <sheetViews>
    <sheetView tabSelected="1" workbookViewId="0">
      <pane xSplit="1" ySplit="2" topLeftCell="M3" activePane="bottomRight" state="frozen"/>
      <selection pane="topRight" activeCell="B1" sqref="B1"/>
      <selection pane="bottomLeft" activeCell="A3" sqref="A3"/>
      <selection pane="bottomRight" activeCell="A14" sqref="A14:A18"/>
    </sheetView>
  </sheetViews>
  <sheetFormatPr baseColWidth="10" defaultRowHeight="16" x14ac:dyDescent="0.2"/>
  <cols>
    <col min="1" max="1" width="27.6640625" bestFit="1" customWidth="1"/>
    <col min="2" max="2" width="9.33203125" bestFit="1" customWidth="1"/>
    <col min="3" max="3" width="9" bestFit="1" customWidth="1"/>
    <col min="4" max="4" width="39" bestFit="1" customWidth="1"/>
    <col min="5" max="5" width="8.83203125" bestFit="1" customWidth="1"/>
    <col min="6" max="6" width="14" bestFit="1" customWidth="1"/>
    <col min="7" max="7" width="21.83203125" bestFit="1" customWidth="1"/>
    <col min="8" max="8" width="8.6640625" bestFit="1" customWidth="1"/>
    <col min="9" max="9" width="20" bestFit="1" customWidth="1"/>
    <col min="10" max="10" width="52.83203125" bestFit="1" customWidth="1"/>
    <col min="11" max="11" width="11.5" bestFit="1" customWidth="1"/>
    <col min="12" max="12" width="34.6640625" bestFit="1" customWidth="1"/>
    <col min="13" max="13" width="36.5" bestFit="1" customWidth="1"/>
    <col min="14" max="14" width="29.5" bestFit="1" customWidth="1"/>
    <col min="15" max="15" width="33.83203125" bestFit="1" customWidth="1"/>
    <col min="16" max="16" width="21" bestFit="1" customWidth="1"/>
    <col min="17" max="17" width="11.1640625" bestFit="1" customWidth="1"/>
    <col min="18" max="18" width="20" bestFit="1" customWidth="1"/>
    <col min="19" max="19" width="36.5" bestFit="1" customWidth="1"/>
    <col min="20" max="20" width="20.83203125" bestFit="1" customWidth="1"/>
    <col min="21" max="21" width="19" bestFit="1" customWidth="1"/>
    <col min="22" max="22" width="14.1640625" bestFit="1" customWidth="1"/>
    <col min="23" max="23" width="35.6640625" bestFit="1" customWidth="1"/>
    <col min="24" max="24" width="9.1640625" bestFit="1" customWidth="1"/>
    <col min="25" max="25" width="5.33203125" bestFit="1" customWidth="1"/>
    <col min="26" max="26" width="11.83203125" bestFit="1" customWidth="1"/>
    <col min="27" max="27" width="5.83203125" bestFit="1" customWidth="1"/>
    <col min="28" max="28" width="9.6640625" bestFit="1" customWidth="1"/>
    <col min="29" max="29" width="164.1640625" bestFit="1" customWidth="1"/>
    <col min="30" max="30" width="46.1640625" bestFit="1" customWidth="1"/>
  </cols>
  <sheetData>
    <row r="1" spans="1:30" x14ac:dyDescent="0.2">
      <c r="A1" s="19" t="s">
        <v>102</v>
      </c>
      <c r="B1" s="19" t="s">
        <v>103</v>
      </c>
      <c r="C1" s="19" t="s">
        <v>104</v>
      </c>
      <c r="D1" s="19" t="s">
        <v>105</v>
      </c>
      <c r="E1" s="19" t="s">
        <v>106</v>
      </c>
      <c r="F1" s="19" t="s">
        <v>107</v>
      </c>
      <c r="G1" s="19" t="s">
        <v>108</v>
      </c>
      <c r="H1" s="19" t="s">
        <v>9</v>
      </c>
      <c r="I1" s="19" t="s">
        <v>9</v>
      </c>
      <c r="J1" s="19" t="s">
        <v>109</v>
      </c>
      <c r="K1" s="19" t="s">
        <v>110</v>
      </c>
      <c r="L1" s="19" t="s">
        <v>111</v>
      </c>
      <c r="M1" s="19" t="s">
        <v>9</v>
      </c>
      <c r="N1" s="19" t="s">
        <v>9</v>
      </c>
      <c r="O1" s="19" t="s">
        <v>112</v>
      </c>
      <c r="P1" s="19" t="s">
        <v>9</v>
      </c>
      <c r="Q1" s="19" t="s">
        <v>113</v>
      </c>
      <c r="R1" s="19" t="s">
        <v>114</v>
      </c>
      <c r="S1" s="19" t="s">
        <v>115</v>
      </c>
      <c r="T1" s="19" t="s">
        <v>116</v>
      </c>
      <c r="U1" s="22" t="s">
        <v>117</v>
      </c>
      <c r="V1" s="22" t="s">
        <v>9</v>
      </c>
      <c r="W1" s="22" t="s">
        <v>118</v>
      </c>
      <c r="X1" s="19" t="s">
        <v>119</v>
      </c>
      <c r="Y1" s="19" t="s">
        <v>9</v>
      </c>
      <c r="Z1" s="19" t="s">
        <v>120</v>
      </c>
      <c r="AA1" s="19" t="s">
        <v>9</v>
      </c>
      <c r="AB1" s="19" t="s">
        <v>121</v>
      </c>
      <c r="AC1" s="19" t="s">
        <v>122</v>
      </c>
      <c r="AD1" s="19" t="s">
        <v>294</v>
      </c>
    </row>
    <row r="2" spans="1:30" x14ac:dyDescent="0.2">
      <c r="A2" s="19" t="s">
        <v>9</v>
      </c>
      <c r="B2" s="19" t="s">
        <v>9</v>
      </c>
      <c r="C2" s="19" t="s">
        <v>9</v>
      </c>
      <c r="D2" s="19" t="s">
        <v>9</v>
      </c>
      <c r="E2" s="19" t="s">
        <v>9</v>
      </c>
      <c r="F2" s="19" t="s">
        <v>9</v>
      </c>
      <c r="G2" t="s">
        <v>123</v>
      </c>
      <c r="H2" t="s">
        <v>124</v>
      </c>
      <c r="I2" t="s">
        <v>125</v>
      </c>
      <c r="J2" s="19" t="s">
        <v>9</v>
      </c>
      <c r="K2" t="s">
        <v>126</v>
      </c>
      <c r="L2" t="s">
        <v>127</v>
      </c>
      <c r="M2" t="s">
        <v>125</v>
      </c>
      <c r="N2" t="s">
        <v>301</v>
      </c>
      <c r="O2" t="s">
        <v>125</v>
      </c>
      <c r="P2" t="s">
        <v>300</v>
      </c>
      <c r="Q2" s="19" t="s">
        <v>9</v>
      </c>
      <c r="R2" s="19" t="s">
        <v>9</v>
      </c>
      <c r="S2" s="19" t="s">
        <v>9</v>
      </c>
      <c r="T2" s="19" t="s">
        <v>9</v>
      </c>
      <c r="U2" s="9" t="s">
        <v>128</v>
      </c>
      <c r="V2" s="9" t="s">
        <v>129</v>
      </c>
      <c r="W2" s="19" t="s">
        <v>9</v>
      </c>
      <c r="X2" s="9" t="s">
        <v>128</v>
      </c>
      <c r="Y2" s="9" t="s">
        <v>129</v>
      </c>
      <c r="Z2" s="9" t="s">
        <v>130</v>
      </c>
      <c r="AA2" s="9" t="s">
        <v>131</v>
      </c>
      <c r="AB2" s="9" t="s">
        <v>132</v>
      </c>
      <c r="AC2" s="19" t="s">
        <v>9</v>
      </c>
      <c r="AD2" s="9" t="s">
        <v>9</v>
      </c>
    </row>
    <row r="3" spans="1:30" x14ac:dyDescent="0.2">
      <c r="A3" s="19" t="s">
        <v>133</v>
      </c>
      <c r="B3" t="s">
        <v>134</v>
      </c>
      <c r="C3" t="s">
        <v>135</v>
      </c>
      <c r="D3" t="s">
        <v>136</v>
      </c>
      <c r="E3" t="s">
        <v>137</v>
      </c>
      <c r="F3" t="s">
        <v>138</v>
      </c>
      <c r="G3" t="s">
        <v>139</v>
      </c>
      <c r="H3" t="s">
        <v>9</v>
      </c>
      <c r="I3" t="s">
        <v>297</v>
      </c>
      <c r="J3" t="s">
        <v>140</v>
      </c>
      <c r="K3" t="s">
        <v>141</v>
      </c>
      <c r="L3" t="s">
        <v>142</v>
      </c>
      <c r="M3" t="s">
        <v>143</v>
      </c>
      <c r="N3" s="10">
        <f>2/490*1000</f>
        <v>4.0816326530612246</v>
      </c>
      <c r="O3" t="s">
        <v>144</v>
      </c>
      <c r="P3" s="10" t="s">
        <v>303</v>
      </c>
      <c r="Q3" t="s">
        <v>138</v>
      </c>
      <c r="R3" t="s">
        <v>145</v>
      </c>
      <c r="S3" t="s">
        <v>146</v>
      </c>
      <c r="T3" t="s">
        <v>147</v>
      </c>
      <c r="U3" s="9" t="s">
        <v>148</v>
      </c>
      <c r="V3" s="9" t="s">
        <v>149</v>
      </c>
      <c r="W3" t="s">
        <v>150</v>
      </c>
      <c r="X3" s="9" t="s">
        <v>151</v>
      </c>
      <c r="Y3" s="9" t="s">
        <v>152</v>
      </c>
      <c r="Z3" s="9" t="s">
        <v>153</v>
      </c>
      <c r="AA3" s="9" t="s">
        <v>154</v>
      </c>
      <c r="AB3" s="23" t="s">
        <v>155</v>
      </c>
      <c r="AC3" t="s">
        <v>156</v>
      </c>
    </row>
    <row r="4" spans="1:30" x14ac:dyDescent="0.2">
      <c r="A4" s="19" t="s">
        <v>157</v>
      </c>
      <c r="B4" t="s">
        <v>158</v>
      </c>
      <c r="C4" t="s">
        <v>135</v>
      </c>
      <c r="D4" t="s">
        <v>136</v>
      </c>
      <c r="E4" t="s">
        <v>137</v>
      </c>
      <c r="F4" t="s">
        <v>138</v>
      </c>
      <c r="G4" t="s">
        <v>159</v>
      </c>
      <c r="H4" t="s">
        <v>9</v>
      </c>
      <c r="I4" t="s">
        <v>296</v>
      </c>
      <c r="J4" t="s">
        <v>160</v>
      </c>
      <c r="K4" t="s">
        <v>161</v>
      </c>
      <c r="L4" t="s">
        <v>162</v>
      </c>
      <c r="M4" t="s">
        <v>163</v>
      </c>
      <c r="N4" s="10">
        <f>1/160*1000</f>
        <v>6.25</v>
      </c>
      <c r="O4" t="s">
        <v>164</v>
      </c>
      <c r="P4" s="10" t="s">
        <v>304</v>
      </c>
      <c r="Q4" t="s">
        <v>138</v>
      </c>
      <c r="R4" t="s">
        <v>138</v>
      </c>
      <c r="S4" t="s">
        <v>138</v>
      </c>
      <c r="T4" t="s">
        <v>165</v>
      </c>
      <c r="U4" s="9">
        <v>2</v>
      </c>
      <c r="V4" s="9">
        <v>5</v>
      </c>
      <c r="W4" t="s">
        <v>166</v>
      </c>
      <c r="X4" s="9">
        <v>1</v>
      </c>
      <c r="Y4" s="9">
        <v>2.5</v>
      </c>
      <c r="Z4" s="9">
        <v>86</v>
      </c>
      <c r="AA4" s="9">
        <v>30</v>
      </c>
      <c r="AB4" s="23" t="s">
        <v>167</v>
      </c>
      <c r="AC4" t="s">
        <v>168</v>
      </c>
    </row>
    <row r="5" spans="1:30" x14ac:dyDescent="0.2">
      <c r="A5" s="19" t="s">
        <v>169</v>
      </c>
      <c r="B5" t="s">
        <v>158</v>
      </c>
      <c r="C5" t="s">
        <v>135</v>
      </c>
      <c r="D5" t="s">
        <v>136</v>
      </c>
      <c r="E5" t="s">
        <v>137</v>
      </c>
      <c r="F5" t="s">
        <v>170</v>
      </c>
      <c r="G5" t="s">
        <v>139</v>
      </c>
      <c r="H5" t="s">
        <v>9</v>
      </c>
      <c r="I5" t="s">
        <v>302</v>
      </c>
      <c r="J5" t="s">
        <v>171</v>
      </c>
      <c r="K5" t="s">
        <v>141</v>
      </c>
      <c r="L5" t="s">
        <v>172</v>
      </c>
      <c r="M5" t="s">
        <v>143</v>
      </c>
      <c r="N5" s="10">
        <f>2/160*1000</f>
        <v>12.5</v>
      </c>
      <c r="O5" t="s">
        <v>173</v>
      </c>
      <c r="P5" s="10" t="s">
        <v>305</v>
      </c>
      <c r="Q5" t="s">
        <v>138</v>
      </c>
      <c r="R5" t="s">
        <v>138</v>
      </c>
      <c r="S5" t="s">
        <v>174</v>
      </c>
      <c r="T5" t="s">
        <v>175</v>
      </c>
      <c r="U5" s="9" t="s">
        <v>9</v>
      </c>
      <c r="V5" s="9" t="s">
        <v>9</v>
      </c>
      <c r="W5" t="s">
        <v>176</v>
      </c>
      <c r="X5" s="9">
        <v>0.8</v>
      </c>
      <c r="Y5" s="9">
        <v>2</v>
      </c>
      <c r="Z5" s="9">
        <v>68</v>
      </c>
      <c r="AA5" s="9">
        <v>20</v>
      </c>
      <c r="AB5" s="9" t="s">
        <v>177</v>
      </c>
      <c r="AC5" t="s">
        <v>178</v>
      </c>
      <c r="AD5" t="s">
        <v>295</v>
      </c>
    </row>
    <row r="6" spans="1:30" x14ac:dyDescent="0.2">
      <c r="A6" s="19" t="s">
        <v>179</v>
      </c>
      <c r="B6" t="s">
        <v>180</v>
      </c>
      <c r="C6" t="s">
        <v>135</v>
      </c>
      <c r="D6" t="s">
        <v>136</v>
      </c>
      <c r="E6" t="s">
        <v>137</v>
      </c>
      <c r="F6" t="s">
        <v>138</v>
      </c>
      <c r="G6" t="s">
        <v>139</v>
      </c>
      <c r="H6" t="s">
        <v>9</v>
      </c>
      <c r="I6" t="s">
        <v>299</v>
      </c>
      <c r="J6" t="s">
        <v>181</v>
      </c>
      <c r="K6" t="s">
        <v>182</v>
      </c>
      <c r="L6" t="s">
        <v>183</v>
      </c>
      <c r="M6" t="s">
        <v>143</v>
      </c>
      <c r="N6" s="10">
        <f>2/450*1000</f>
        <v>4.4444444444444446</v>
      </c>
      <c r="O6" t="s">
        <v>184</v>
      </c>
      <c r="P6" s="10" t="s">
        <v>9</v>
      </c>
      <c r="Q6" t="s">
        <v>138</v>
      </c>
      <c r="R6" t="s">
        <v>145</v>
      </c>
      <c r="S6" t="s">
        <v>185</v>
      </c>
      <c r="T6" t="s">
        <v>186</v>
      </c>
      <c r="U6" s="9">
        <v>0.5</v>
      </c>
      <c r="V6" s="9">
        <v>1.3</v>
      </c>
      <c r="W6" t="s">
        <v>9</v>
      </c>
      <c r="X6" s="23" t="s">
        <v>187</v>
      </c>
      <c r="Y6" s="9" t="s">
        <v>188</v>
      </c>
      <c r="Z6" s="9">
        <v>88</v>
      </c>
      <c r="AA6" s="9">
        <v>31</v>
      </c>
      <c r="AB6" s="23" t="s">
        <v>189</v>
      </c>
      <c r="AC6" t="s">
        <v>190</v>
      </c>
    </row>
    <row r="7" spans="1:30" x14ac:dyDescent="0.2">
      <c r="A7" s="19" t="s">
        <v>191</v>
      </c>
      <c r="B7" t="s">
        <v>180</v>
      </c>
      <c r="C7" t="s">
        <v>135</v>
      </c>
      <c r="D7" t="s">
        <v>136</v>
      </c>
      <c r="E7" t="s">
        <v>138</v>
      </c>
      <c r="F7" t="s">
        <v>192</v>
      </c>
      <c r="G7" t="s">
        <v>193</v>
      </c>
      <c r="H7" t="s">
        <v>9</v>
      </c>
      <c r="I7" t="s">
        <v>194</v>
      </c>
      <c r="J7" t="s">
        <v>138</v>
      </c>
      <c r="K7" t="s">
        <v>195</v>
      </c>
      <c r="L7" t="s">
        <v>162</v>
      </c>
      <c r="M7" t="s">
        <v>196</v>
      </c>
      <c r="N7" s="10">
        <f>2/700*1000</f>
        <v>2.8571428571428572</v>
      </c>
      <c r="O7" t="s">
        <v>164</v>
      </c>
      <c r="P7" s="10" t="s">
        <v>306</v>
      </c>
      <c r="Q7" t="s">
        <v>138</v>
      </c>
      <c r="R7" t="s">
        <v>138</v>
      </c>
      <c r="S7" t="s">
        <v>138</v>
      </c>
      <c r="T7" t="s">
        <v>165</v>
      </c>
      <c r="U7" s="9" t="s">
        <v>197</v>
      </c>
      <c r="V7" s="9" t="s">
        <v>198</v>
      </c>
      <c r="W7" t="s">
        <v>199</v>
      </c>
      <c r="X7" s="9">
        <v>0.5</v>
      </c>
      <c r="Y7" s="9">
        <v>1</v>
      </c>
      <c r="Z7" s="9" t="s">
        <v>9</v>
      </c>
      <c r="AA7" s="9" t="s">
        <v>9</v>
      </c>
      <c r="AB7" s="9">
        <v>72</v>
      </c>
      <c r="AC7" t="s">
        <v>200</v>
      </c>
      <c r="AD7" t="s">
        <v>200</v>
      </c>
    </row>
    <row r="8" spans="1:30" x14ac:dyDescent="0.2">
      <c r="A8" s="19" t="s">
        <v>201</v>
      </c>
      <c r="B8" t="s">
        <v>180</v>
      </c>
      <c r="C8" t="s">
        <v>202</v>
      </c>
      <c r="D8" t="s">
        <v>136</v>
      </c>
      <c r="E8" t="s">
        <v>137</v>
      </c>
      <c r="F8" t="s">
        <v>138</v>
      </c>
      <c r="G8" t="s">
        <v>139</v>
      </c>
      <c r="H8" t="s">
        <v>9</v>
      </c>
      <c r="I8" t="s">
        <v>203</v>
      </c>
      <c r="J8" t="s">
        <v>204</v>
      </c>
      <c r="K8" t="s">
        <v>205</v>
      </c>
      <c r="L8" t="s">
        <v>172</v>
      </c>
      <c r="M8" t="s">
        <v>143</v>
      </c>
      <c r="N8" s="10">
        <f>2/350*1000</f>
        <v>5.7142857142857144</v>
      </c>
      <c r="O8" t="s">
        <v>206</v>
      </c>
      <c r="P8" s="10" t="s">
        <v>308</v>
      </c>
      <c r="Q8" t="s">
        <v>207</v>
      </c>
      <c r="R8" t="s">
        <v>138</v>
      </c>
      <c r="S8" t="s">
        <v>138</v>
      </c>
      <c r="T8" t="s">
        <v>9</v>
      </c>
      <c r="U8" s="9" t="s">
        <v>9</v>
      </c>
      <c r="V8" s="9" t="s">
        <v>9</v>
      </c>
      <c r="W8" t="s">
        <v>208</v>
      </c>
      <c r="X8" s="9" t="s">
        <v>9</v>
      </c>
      <c r="Y8" s="9" t="s">
        <v>9</v>
      </c>
      <c r="Z8" s="9">
        <v>86</v>
      </c>
      <c r="AA8" s="9">
        <v>30</v>
      </c>
      <c r="AB8" s="23" t="s">
        <v>209</v>
      </c>
      <c r="AC8" t="s">
        <v>210</v>
      </c>
    </row>
    <row r="9" spans="1:30" x14ac:dyDescent="0.2">
      <c r="A9" s="19" t="s">
        <v>211</v>
      </c>
      <c r="B9" t="s">
        <v>180</v>
      </c>
      <c r="C9" t="s">
        <v>135</v>
      </c>
      <c r="D9" t="s">
        <v>136</v>
      </c>
      <c r="E9" t="s">
        <v>138</v>
      </c>
      <c r="F9" t="s">
        <v>212</v>
      </c>
      <c r="G9" t="s">
        <v>139</v>
      </c>
      <c r="H9" t="s">
        <v>9</v>
      </c>
      <c r="I9" t="s">
        <v>298</v>
      </c>
      <c r="J9" t="s">
        <v>213</v>
      </c>
      <c r="K9" t="s">
        <v>214</v>
      </c>
      <c r="L9" t="s">
        <v>183</v>
      </c>
      <c r="M9" t="s">
        <v>215</v>
      </c>
      <c r="N9" s="10">
        <f>4/330*1000</f>
        <v>12.121212121212121</v>
      </c>
      <c r="O9" t="s">
        <v>216</v>
      </c>
      <c r="P9" s="10" t="s">
        <v>307</v>
      </c>
      <c r="Q9" t="s">
        <v>138</v>
      </c>
      <c r="R9" t="s">
        <v>145</v>
      </c>
      <c r="S9" t="s">
        <v>138</v>
      </c>
      <c r="T9" t="s">
        <v>165</v>
      </c>
      <c r="U9" s="9" t="s">
        <v>217</v>
      </c>
      <c r="V9" s="9" t="s">
        <v>187</v>
      </c>
      <c r="W9" t="s">
        <v>218</v>
      </c>
      <c r="X9" s="9">
        <v>1</v>
      </c>
      <c r="Y9" s="9">
        <v>2.5</v>
      </c>
      <c r="Z9" s="9" t="s">
        <v>219</v>
      </c>
      <c r="AA9" s="9" t="s">
        <v>220</v>
      </c>
      <c r="AB9" s="23" t="s">
        <v>221</v>
      </c>
      <c r="AC9" t="s">
        <v>222</v>
      </c>
      <c r="AD9" t="s">
        <v>222</v>
      </c>
    </row>
    <row r="10" spans="1:30" x14ac:dyDescent="0.2">
      <c r="A10" s="19" t="s">
        <v>223</v>
      </c>
      <c r="B10" t="s">
        <v>224</v>
      </c>
      <c r="C10" t="s">
        <v>135</v>
      </c>
      <c r="D10" t="s">
        <v>136</v>
      </c>
      <c r="E10" t="s">
        <v>137</v>
      </c>
      <c r="F10" t="s">
        <v>138</v>
      </c>
      <c r="G10" t="s">
        <v>159</v>
      </c>
      <c r="H10" t="s">
        <v>9</v>
      </c>
      <c r="I10" t="s">
        <v>298</v>
      </c>
      <c r="J10" t="s">
        <v>225</v>
      </c>
      <c r="K10" t="s">
        <v>226</v>
      </c>
      <c r="L10" t="s">
        <v>162</v>
      </c>
      <c r="M10" t="s">
        <v>143</v>
      </c>
      <c r="N10" s="10">
        <f>2/330*1000</f>
        <v>6.0606060606060606</v>
      </c>
      <c r="O10" t="s">
        <v>164</v>
      </c>
      <c r="P10" s="10" t="s">
        <v>305</v>
      </c>
      <c r="Q10" t="s">
        <v>138</v>
      </c>
      <c r="R10" t="s">
        <v>138</v>
      </c>
      <c r="S10" t="s">
        <v>138</v>
      </c>
      <c r="T10" t="s">
        <v>9</v>
      </c>
      <c r="U10" s="9" t="s">
        <v>9</v>
      </c>
      <c r="V10" s="9" t="s">
        <v>9</v>
      </c>
      <c r="W10" t="s">
        <v>227</v>
      </c>
      <c r="X10" s="9" t="s">
        <v>9</v>
      </c>
      <c r="Y10" s="9" t="s">
        <v>9</v>
      </c>
      <c r="Z10" s="9">
        <v>88</v>
      </c>
      <c r="AA10" s="9">
        <v>31</v>
      </c>
      <c r="AB10" s="23" t="s">
        <v>189</v>
      </c>
      <c r="AC10" t="s">
        <v>228</v>
      </c>
    </row>
    <row r="11" spans="1:30" x14ac:dyDescent="0.2">
      <c r="A11" s="19" t="s">
        <v>229</v>
      </c>
      <c r="B11" t="s">
        <v>224</v>
      </c>
      <c r="C11" t="s">
        <v>202</v>
      </c>
      <c r="D11" t="s">
        <v>136</v>
      </c>
      <c r="E11" t="s">
        <v>137</v>
      </c>
      <c r="F11" t="s">
        <v>138</v>
      </c>
      <c r="G11" t="s">
        <v>193</v>
      </c>
      <c r="H11" t="s">
        <v>9</v>
      </c>
      <c r="I11" t="s">
        <v>230</v>
      </c>
      <c r="J11" t="s">
        <v>138</v>
      </c>
      <c r="K11" t="s">
        <v>231</v>
      </c>
      <c r="L11" t="s">
        <v>183</v>
      </c>
      <c r="M11" t="s">
        <v>232</v>
      </c>
      <c r="N11" s="10">
        <f>1/530*1000</f>
        <v>1.8867924528301887</v>
      </c>
      <c r="O11" t="s">
        <v>144</v>
      </c>
      <c r="P11" s="10" t="s">
        <v>303</v>
      </c>
      <c r="Q11" t="s">
        <v>138</v>
      </c>
      <c r="R11" t="s">
        <v>138</v>
      </c>
      <c r="S11" t="s">
        <v>138</v>
      </c>
      <c r="T11" t="s">
        <v>165</v>
      </c>
      <c r="U11" s="9" t="s">
        <v>233</v>
      </c>
      <c r="V11" s="9" t="s">
        <v>233</v>
      </c>
      <c r="W11" t="s">
        <v>234</v>
      </c>
      <c r="X11" s="9">
        <v>0.8</v>
      </c>
      <c r="Y11" s="9">
        <v>2</v>
      </c>
      <c r="Z11" s="9">
        <v>86</v>
      </c>
      <c r="AA11" s="9">
        <v>30</v>
      </c>
      <c r="AB11" s="9">
        <v>24</v>
      </c>
      <c r="AC11" t="s">
        <v>235</v>
      </c>
    </row>
    <row r="12" spans="1:30" x14ac:dyDescent="0.2">
      <c r="A12" s="19" t="s">
        <v>236</v>
      </c>
      <c r="B12" t="s">
        <v>224</v>
      </c>
      <c r="C12" t="s">
        <v>135</v>
      </c>
      <c r="D12" t="s">
        <v>136</v>
      </c>
      <c r="E12" t="s">
        <v>138</v>
      </c>
      <c r="F12" t="s">
        <v>237</v>
      </c>
      <c r="G12" t="s">
        <v>139</v>
      </c>
      <c r="H12" t="s">
        <v>9</v>
      </c>
      <c r="I12" t="s">
        <v>9</v>
      </c>
      <c r="J12" t="s">
        <v>238</v>
      </c>
      <c r="K12" t="s">
        <v>9</v>
      </c>
      <c r="L12" t="s">
        <v>138</v>
      </c>
      <c r="M12" t="s">
        <v>9</v>
      </c>
      <c r="N12" s="10" t="s">
        <v>9</v>
      </c>
      <c r="O12" t="s">
        <v>9</v>
      </c>
      <c r="P12" s="10" t="s">
        <v>9</v>
      </c>
      <c r="Q12" t="s">
        <v>138</v>
      </c>
      <c r="R12" t="s">
        <v>145</v>
      </c>
      <c r="S12" t="s">
        <v>239</v>
      </c>
      <c r="T12" t="s">
        <v>165</v>
      </c>
      <c r="U12" s="9" t="s">
        <v>217</v>
      </c>
      <c r="V12" s="9" t="s">
        <v>187</v>
      </c>
      <c r="W12" t="s">
        <v>9</v>
      </c>
      <c r="X12" s="9">
        <v>1</v>
      </c>
      <c r="Y12" s="9">
        <v>2.5</v>
      </c>
      <c r="Z12" s="9" t="s">
        <v>153</v>
      </c>
      <c r="AA12" s="9" t="s">
        <v>154</v>
      </c>
      <c r="AB12" s="23" t="s">
        <v>189</v>
      </c>
      <c r="AC12" t="s">
        <v>240</v>
      </c>
      <c r="AD12" t="s">
        <v>240</v>
      </c>
    </row>
    <row r="13" spans="1:30" x14ac:dyDescent="0.2">
      <c r="A13" s="19" t="s">
        <v>241</v>
      </c>
      <c r="B13" t="s">
        <v>224</v>
      </c>
      <c r="C13" t="s">
        <v>135</v>
      </c>
      <c r="D13" t="s">
        <v>136</v>
      </c>
      <c r="E13" t="s">
        <v>137</v>
      </c>
      <c r="F13" t="s">
        <v>138</v>
      </c>
      <c r="G13" t="s">
        <v>159</v>
      </c>
      <c r="H13" t="s">
        <v>9</v>
      </c>
      <c r="I13" t="s">
        <v>242</v>
      </c>
      <c r="J13" t="s">
        <v>243</v>
      </c>
      <c r="K13" t="s">
        <v>182</v>
      </c>
      <c r="L13" t="s">
        <v>244</v>
      </c>
      <c r="M13" t="s">
        <v>245</v>
      </c>
      <c r="N13" s="10">
        <f>2/600*1000</f>
        <v>3.3333333333333335</v>
      </c>
      <c r="O13" t="s">
        <v>246</v>
      </c>
      <c r="P13" s="10" t="s">
        <v>309</v>
      </c>
      <c r="Q13" t="s">
        <v>138</v>
      </c>
      <c r="R13" t="s">
        <v>138</v>
      </c>
      <c r="S13" t="s">
        <v>138</v>
      </c>
      <c r="T13" t="s">
        <v>247</v>
      </c>
      <c r="U13" s="9">
        <v>0.4</v>
      </c>
      <c r="V13" s="9">
        <v>1</v>
      </c>
      <c r="W13" t="s">
        <v>9</v>
      </c>
      <c r="X13" s="9" t="s">
        <v>9</v>
      </c>
      <c r="Y13" s="9" t="s">
        <v>9</v>
      </c>
      <c r="Z13" s="9">
        <v>86</v>
      </c>
      <c r="AA13" s="9">
        <v>30</v>
      </c>
      <c r="AB13" s="23" t="s">
        <v>221</v>
      </c>
      <c r="AC13" t="s">
        <v>248</v>
      </c>
    </row>
    <row r="14" spans="1:30" x14ac:dyDescent="0.2">
      <c r="A14" s="19" t="s">
        <v>249</v>
      </c>
      <c r="B14" t="s">
        <v>158</v>
      </c>
      <c r="C14" t="s">
        <v>135</v>
      </c>
      <c r="D14" t="s">
        <v>250</v>
      </c>
      <c r="E14" t="s">
        <v>138</v>
      </c>
      <c r="F14" t="s">
        <v>138</v>
      </c>
      <c r="G14" t="s">
        <v>159</v>
      </c>
      <c r="H14" t="s">
        <v>251</v>
      </c>
      <c r="I14" t="s">
        <v>9</v>
      </c>
      <c r="J14" t="s">
        <v>252</v>
      </c>
      <c r="K14" t="s">
        <v>253</v>
      </c>
      <c r="L14" t="s">
        <v>254</v>
      </c>
      <c r="M14" t="s">
        <v>255</v>
      </c>
      <c r="N14" s="10">
        <f>(2.85/15)/100*1000</f>
        <v>1.9</v>
      </c>
      <c r="O14" t="s">
        <v>256</v>
      </c>
      <c r="P14" s="10" t="s">
        <v>9</v>
      </c>
      <c r="Q14" t="s">
        <v>138</v>
      </c>
      <c r="R14" t="s">
        <v>257</v>
      </c>
      <c r="S14" t="s">
        <v>138</v>
      </c>
      <c r="T14" t="s">
        <v>186</v>
      </c>
      <c r="U14" s="9" t="s">
        <v>9</v>
      </c>
      <c r="V14" s="9" t="s">
        <v>9</v>
      </c>
      <c r="W14" t="s">
        <v>258</v>
      </c>
      <c r="X14" s="9" t="s">
        <v>9</v>
      </c>
      <c r="Y14" s="9" t="s">
        <v>9</v>
      </c>
      <c r="Z14" s="9" t="s">
        <v>259</v>
      </c>
      <c r="AA14" s="9" t="s">
        <v>260</v>
      </c>
      <c r="AB14" s="9">
        <v>28</v>
      </c>
      <c r="AC14" t="s">
        <v>261</v>
      </c>
    </row>
    <row r="15" spans="1:30" x14ac:dyDescent="0.2">
      <c r="A15" s="19" t="s">
        <v>262</v>
      </c>
      <c r="B15" t="s">
        <v>224</v>
      </c>
      <c r="C15" t="s">
        <v>135</v>
      </c>
      <c r="D15" t="s">
        <v>250</v>
      </c>
      <c r="E15" t="s">
        <v>138</v>
      </c>
      <c r="F15" t="s">
        <v>138</v>
      </c>
      <c r="G15" t="s">
        <v>139</v>
      </c>
      <c r="H15" t="s">
        <v>9</v>
      </c>
      <c r="I15" t="s">
        <v>9</v>
      </c>
      <c r="J15" t="s">
        <v>263</v>
      </c>
      <c r="K15" t="s">
        <v>264</v>
      </c>
      <c r="L15" t="s">
        <v>265</v>
      </c>
      <c r="M15" t="s">
        <v>266</v>
      </c>
      <c r="N15" s="10" t="s">
        <v>9</v>
      </c>
      <c r="O15" t="s">
        <v>9</v>
      </c>
      <c r="P15" s="10" t="s">
        <v>9</v>
      </c>
      <c r="Q15" t="s">
        <v>138</v>
      </c>
      <c r="R15" t="s">
        <v>145</v>
      </c>
      <c r="S15" t="s">
        <v>138</v>
      </c>
      <c r="T15" t="s">
        <v>267</v>
      </c>
      <c r="U15" s="9" t="s">
        <v>9</v>
      </c>
      <c r="V15" s="9" t="s">
        <v>9</v>
      </c>
      <c r="W15" t="s">
        <v>9</v>
      </c>
      <c r="X15" s="9" t="s">
        <v>9</v>
      </c>
      <c r="Y15" s="9" t="s">
        <v>9</v>
      </c>
      <c r="Z15" s="9" t="s">
        <v>268</v>
      </c>
      <c r="AA15" s="9" t="s">
        <v>269</v>
      </c>
      <c r="AB15" s="9" t="s">
        <v>270</v>
      </c>
      <c r="AC15" t="s">
        <v>271</v>
      </c>
    </row>
    <row r="16" spans="1:30" x14ac:dyDescent="0.2">
      <c r="A16" s="19" t="s">
        <v>272</v>
      </c>
      <c r="B16" t="s">
        <v>158</v>
      </c>
      <c r="C16" t="s">
        <v>135</v>
      </c>
      <c r="D16" t="s">
        <v>250</v>
      </c>
      <c r="E16" t="s">
        <v>138</v>
      </c>
      <c r="F16" t="s">
        <v>138</v>
      </c>
      <c r="G16" t="s">
        <v>139</v>
      </c>
      <c r="H16" t="s">
        <v>9</v>
      </c>
      <c r="I16" t="s">
        <v>9</v>
      </c>
      <c r="J16" t="s">
        <v>263</v>
      </c>
      <c r="K16" t="s">
        <v>264</v>
      </c>
      <c r="L16" t="s">
        <v>265</v>
      </c>
      <c r="M16" t="s">
        <v>266</v>
      </c>
      <c r="N16" s="10" t="s">
        <v>9</v>
      </c>
      <c r="O16" t="s">
        <v>9</v>
      </c>
      <c r="P16" s="10" t="s">
        <v>9</v>
      </c>
      <c r="Q16" t="s">
        <v>138</v>
      </c>
      <c r="R16" t="s">
        <v>145</v>
      </c>
      <c r="S16" t="s">
        <v>138</v>
      </c>
      <c r="T16" t="s">
        <v>267</v>
      </c>
      <c r="U16" s="9" t="s">
        <v>9</v>
      </c>
      <c r="V16" s="9" t="s">
        <v>9</v>
      </c>
      <c r="W16" t="s">
        <v>9</v>
      </c>
      <c r="X16" s="9" t="s">
        <v>9</v>
      </c>
      <c r="Y16" s="9" t="s">
        <v>9</v>
      </c>
      <c r="Z16" s="9">
        <v>94.8</v>
      </c>
      <c r="AA16" s="9">
        <v>34.9</v>
      </c>
      <c r="AB16" s="9">
        <v>53.1</v>
      </c>
      <c r="AC16" t="s">
        <v>273</v>
      </c>
    </row>
    <row r="17" spans="1:29" x14ac:dyDescent="0.2">
      <c r="A17" s="19" t="s">
        <v>274</v>
      </c>
      <c r="B17" t="s">
        <v>158</v>
      </c>
      <c r="C17" t="s">
        <v>135</v>
      </c>
      <c r="D17" t="s">
        <v>275</v>
      </c>
      <c r="E17" t="s">
        <v>138</v>
      </c>
      <c r="F17" t="s">
        <v>138</v>
      </c>
      <c r="G17" t="s">
        <v>276</v>
      </c>
      <c r="H17" t="s">
        <v>277</v>
      </c>
      <c r="I17" t="s">
        <v>9</v>
      </c>
      <c r="J17" t="s">
        <v>263</v>
      </c>
      <c r="K17" t="s">
        <v>264</v>
      </c>
      <c r="L17" t="s">
        <v>265</v>
      </c>
      <c r="M17" t="s">
        <v>266</v>
      </c>
      <c r="N17" s="10" t="s">
        <v>9</v>
      </c>
      <c r="O17" t="s">
        <v>9</v>
      </c>
      <c r="P17" s="10" t="s">
        <v>9</v>
      </c>
      <c r="Q17" t="s">
        <v>138</v>
      </c>
      <c r="R17" t="s">
        <v>145</v>
      </c>
      <c r="S17" t="s">
        <v>138</v>
      </c>
      <c r="T17" t="s">
        <v>267</v>
      </c>
      <c r="U17" s="9" t="s">
        <v>9</v>
      </c>
      <c r="V17" s="9" t="s">
        <v>9</v>
      </c>
      <c r="W17" t="s">
        <v>9</v>
      </c>
      <c r="X17" s="9" t="s">
        <v>9</v>
      </c>
      <c r="Y17" s="9" t="s">
        <v>9</v>
      </c>
      <c r="Z17" s="9" t="s">
        <v>278</v>
      </c>
      <c r="AA17" s="9" t="s">
        <v>279</v>
      </c>
      <c r="AB17" s="9" t="s">
        <v>280</v>
      </c>
      <c r="AC17" t="s">
        <v>281</v>
      </c>
    </row>
    <row r="18" spans="1:29" x14ac:dyDescent="0.2">
      <c r="A18" s="19" t="s">
        <v>282</v>
      </c>
      <c r="B18" t="s">
        <v>180</v>
      </c>
      <c r="C18" t="s">
        <v>135</v>
      </c>
      <c r="D18" t="s">
        <v>250</v>
      </c>
      <c r="E18" t="s">
        <v>138</v>
      </c>
      <c r="F18" t="s">
        <v>138</v>
      </c>
      <c r="G18" t="s">
        <v>283</v>
      </c>
      <c r="H18" t="s">
        <v>9</v>
      </c>
      <c r="I18" t="s">
        <v>284</v>
      </c>
      <c r="J18" t="s">
        <v>285</v>
      </c>
      <c r="K18" t="s">
        <v>286</v>
      </c>
      <c r="L18" t="s">
        <v>287</v>
      </c>
      <c r="M18" t="s">
        <v>288</v>
      </c>
      <c r="N18" s="10">
        <f>(1/10)/200*1000</f>
        <v>0.5</v>
      </c>
      <c r="O18" t="s">
        <v>289</v>
      </c>
      <c r="P18" s="10" t="s">
        <v>9</v>
      </c>
      <c r="Q18" t="s">
        <v>138</v>
      </c>
      <c r="R18" t="s">
        <v>290</v>
      </c>
      <c r="S18" t="s">
        <v>291</v>
      </c>
      <c r="T18" t="s">
        <v>186</v>
      </c>
      <c r="U18" s="9">
        <v>0.4</v>
      </c>
      <c r="V18" s="9">
        <v>1</v>
      </c>
      <c r="W18" t="s">
        <v>9</v>
      </c>
      <c r="X18" s="9" t="s">
        <v>9</v>
      </c>
      <c r="Y18" s="9" t="s">
        <v>9</v>
      </c>
      <c r="Z18" s="9">
        <v>86</v>
      </c>
      <c r="AA18" s="9">
        <v>30</v>
      </c>
      <c r="AB18" s="9" t="s">
        <v>292</v>
      </c>
      <c r="AC18" t="s">
        <v>293</v>
      </c>
    </row>
    <row r="19" spans="1:29" x14ac:dyDescent="0.2">
      <c r="P19" s="10"/>
    </row>
    <row r="20" spans="1:29" x14ac:dyDescent="0.2">
      <c r="P20" s="10"/>
    </row>
    <row r="21" spans="1:29" x14ac:dyDescent="0.2">
      <c r="P21" s="10"/>
      <c r="AA21" s="9"/>
    </row>
    <row r="22" spans="1:29" x14ac:dyDescent="0.2">
      <c r="P22" s="10"/>
      <c r="AA22" s="9"/>
    </row>
    <row r="23" spans="1:29" x14ac:dyDescent="0.2">
      <c r="P23" s="10"/>
      <c r="AA23" s="9"/>
    </row>
    <row r="24" spans="1:29" x14ac:dyDescent="0.2">
      <c r="P24" s="10"/>
      <c r="AA24" s="9"/>
    </row>
    <row r="25" spans="1:29" x14ac:dyDescent="0.2">
      <c r="P25" s="10"/>
      <c r="AA25" s="9"/>
    </row>
    <row r="26" spans="1:29" x14ac:dyDescent="0.2">
      <c r="P26" s="10"/>
      <c r="AA26" s="9"/>
    </row>
    <row r="27" spans="1:29" x14ac:dyDescent="0.2">
      <c r="P27" s="10"/>
      <c r="AA27" s="9"/>
    </row>
    <row r="28" spans="1:29" x14ac:dyDescent="0.2">
      <c r="P28" s="10"/>
      <c r="AA28" s="9"/>
    </row>
    <row r="29" spans="1:29" x14ac:dyDescent="0.2">
      <c r="P29" s="10"/>
      <c r="AA29" s="9"/>
    </row>
    <row r="30" spans="1:29" x14ac:dyDescent="0.2">
      <c r="P30" s="10"/>
      <c r="AA30" s="9"/>
    </row>
    <row r="31" spans="1:29" x14ac:dyDescent="0.2">
      <c r="P31" s="10"/>
      <c r="AA31" s="9"/>
    </row>
    <row r="32" spans="1:29" x14ac:dyDescent="0.2">
      <c r="P32" s="10"/>
      <c r="AA32" s="9"/>
    </row>
    <row r="33" spans="16:27" x14ac:dyDescent="0.2">
      <c r="P33" s="10"/>
      <c r="AA33" s="9"/>
    </row>
    <row r="34" spans="16:27" x14ac:dyDescent="0.2">
      <c r="P34" s="10"/>
    </row>
  </sheetData>
  <hyperlinks>
    <hyperlink ref="A7" r:id="rId1" display="https://www.youtube.com/channel/UCUwqMScOL4FgcFRPPsNvVQg" xr:uid="{8B694C90-0AA7-7F4C-8F72-82034FD24C45}"/>
    <hyperlink ref="A9" r:id="rId2" display="https://www.youtube.com/channel/UCafwHIJLXpJXEfoX0ZaQanA" xr:uid="{40FC7908-4B0C-134C-BDB7-96F04FE22A3E}"/>
    <hyperlink ref="A12" r:id="rId3" display="https://www.youtube.com/channel/UC3kcNdG7IE9DXKubICrDEhg" xr:uid="{3822563E-4AC3-4D45-BAB7-0B0FD57416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meta-data</vt:lpstr>
      <vt:lpstr>nutrition facts</vt:lpstr>
      <vt:lpstr>recipes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2021-04-12T03:20:38Z</dcterms:created>
  <dcterms:modified xsi:type="dcterms:W3CDTF">2021-04-27T07:52:25Z</dcterms:modified>
</cp:coreProperties>
</file>